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mores\Desktop\"/>
    </mc:Choice>
  </mc:AlternateContent>
  <bookViews>
    <workbookView xWindow="0" yWindow="0" windowWidth="25125" windowHeight="12435" firstSheet="2" activeTab="2"/>
  </bookViews>
  <sheets>
    <sheet name="resumen" sheetId="26" state="hidden" r:id="rId1"/>
    <sheet name="En trámite" sheetId="10" state="hidden" r:id="rId2"/>
    <sheet name="Programas Desarrollados" sheetId="21" r:id="rId3"/>
    <sheet name="proy x cierre" sheetId="18" r:id="rId4"/>
    <sheet name="Consultorias" sheetId="20" state="hidden" r:id="rId5"/>
    <sheet name="Legales" sheetId="19" state="hidden" r:id="rId6"/>
    <sheet name="terminados" sheetId="23" state="hidden" r:id="rId7"/>
    <sheet name="Planificación" sheetId="28" state="hidden" r:id="rId8"/>
    <sheet name="P.Adendas" sheetId="29" state="hidden" r:id="rId9"/>
  </sheets>
  <definedNames>
    <definedName name="_xlnm.Print_Titles" localSheetId="1">'En trámite'!$5:$5</definedName>
    <definedName name="_xlnm.Print_Titles" localSheetId="5">Legales!$5:$5</definedName>
    <definedName name="_xlnm.Print_Titles" localSheetId="2">'Programas Desarrollados'!$5:$5</definedName>
    <definedName name="_xlnm.Print_Titles" localSheetId="3">'proy x cierre'!$5:$5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1" l="1"/>
  <c r="D20" i="28" l="1"/>
  <c r="J55" i="21" l="1"/>
  <c r="K55" i="21" s="1"/>
  <c r="J40" i="21" l="1"/>
  <c r="J39" i="21"/>
  <c r="J33" i="21"/>
  <c r="J12" i="21"/>
  <c r="D10" i="26" l="1"/>
  <c r="D9" i="26"/>
  <c r="B11" i="26"/>
  <c r="C10" i="26"/>
  <c r="C9" i="26"/>
  <c r="C6" i="26"/>
  <c r="E7" i="10" l="1"/>
  <c r="E14" i="10"/>
  <c r="H15" i="19" l="1"/>
  <c r="G15" i="19"/>
  <c r="D15" i="19"/>
  <c r="H31" i="18"/>
  <c r="H12" i="18"/>
  <c r="G21" i="18"/>
  <c r="D21" i="18"/>
  <c r="H22" i="18" l="1"/>
  <c r="H21" i="18" s="1"/>
  <c r="K43" i="21" l="1"/>
  <c r="J42" i="21"/>
  <c r="K42" i="21" s="1"/>
  <c r="J8" i="21" l="1"/>
  <c r="G20" i="18" l="1"/>
  <c r="J58" i="21"/>
  <c r="J46" i="21"/>
  <c r="J44" i="21"/>
  <c r="J28" i="21"/>
  <c r="J35" i="21"/>
  <c r="J34" i="21"/>
  <c r="J27" i="21"/>
  <c r="J20" i="21" l="1"/>
  <c r="J17" i="21"/>
  <c r="K17" i="21" s="1"/>
  <c r="J16" i="21"/>
  <c r="J9" i="21" l="1"/>
  <c r="D9" i="19" l="1"/>
  <c r="D7" i="19"/>
  <c r="G14" i="19"/>
  <c r="H14" i="19" s="1"/>
  <c r="G13" i="19"/>
  <c r="H13" i="19" s="1"/>
  <c r="G12" i="19"/>
  <c r="H12" i="19" s="1"/>
  <c r="G11" i="19"/>
  <c r="H11" i="19" s="1"/>
  <c r="G23" i="19"/>
  <c r="H23" i="19" s="1"/>
  <c r="G22" i="19"/>
  <c r="H22" i="19" s="1"/>
  <c r="G21" i="19"/>
  <c r="H21" i="19" s="1"/>
  <c r="G20" i="19"/>
  <c r="H20" i="19" s="1"/>
  <c r="D9" i="18"/>
  <c r="G11" i="18"/>
  <c r="H11" i="18" s="1"/>
  <c r="D23" i="18"/>
  <c r="G30" i="18"/>
  <c r="H30" i="18" s="1"/>
  <c r="G29" i="18"/>
  <c r="H29" i="18" s="1"/>
  <c r="J54" i="21"/>
  <c r="K54" i="21" s="1"/>
  <c r="D41" i="18"/>
  <c r="D33" i="18"/>
  <c r="D19" i="18"/>
  <c r="G28" i="18"/>
  <c r="H28" i="18" s="1"/>
  <c r="H20" i="18"/>
  <c r="H19" i="18" s="1"/>
  <c r="G26" i="18"/>
  <c r="H26" i="18" s="1"/>
  <c r="D13" i="18"/>
  <c r="G42" i="18"/>
  <c r="H42" i="18" s="1"/>
  <c r="H41" i="18" s="1"/>
  <c r="G37" i="18"/>
  <c r="H37" i="18" s="1"/>
  <c r="G36" i="18"/>
  <c r="H36" i="18" s="1"/>
  <c r="D6" i="19" l="1"/>
  <c r="G41" i="18"/>
  <c r="G19" i="18"/>
  <c r="G35" i="18" l="1"/>
  <c r="H35" i="18" s="1"/>
  <c r="G24" i="18"/>
  <c r="H24" i="18" l="1"/>
  <c r="D39" i="18"/>
  <c r="D17" i="18" l="1"/>
  <c r="G18" i="18"/>
  <c r="E32" i="23"/>
  <c r="E28" i="23"/>
  <c r="E21" i="23"/>
  <c r="E18" i="23"/>
  <c r="E11" i="23"/>
  <c r="E8" i="23"/>
  <c r="E6" i="23"/>
  <c r="E5" i="23" l="1"/>
  <c r="H18" i="18"/>
  <c r="H17" i="18" s="1"/>
  <c r="G17" i="18"/>
  <c r="D7" i="18"/>
  <c r="D6" i="18" s="1"/>
  <c r="C8" i="26" s="1"/>
  <c r="D15" i="18"/>
  <c r="G16" i="18"/>
  <c r="G15" i="18" s="1"/>
  <c r="G8" i="18"/>
  <c r="H8" i="18" l="1"/>
  <c r="H7" i="18" s="1"/>
  <c r="G7" i="18"/>
  <c r="J60" i="21" l="1"/>
  <c r="K60" i="21" s="1"/>
  <c r="J59" i="21"/>
  <c r="K59" i="21" s="1"/>
  <c r="K58" i="21"/>
  <c r="E57" i="21"/>
  <c r="J56" i="21"/>
  <c r="K56" i="21" s="1"/>
  <c r="J53" i="21"/>
  <c r="K53" i="21" s="1"/>
  <c r="J50" i="21"/>
  <c r="K50" i="21" s="1"/>
  <c r="J49" i="21"/>
  <c r="K49" i="21" s="1"/>
  <c r="J48" i="21"/>
  <c r="E47" i="21"/>
  <c r="J45" i="21"/>
  <c r="E45" i="21"/>
  <c r="K44" i="21"/>
  <c r="J41" i="21"/>
  <c r="K41" i="21" s="1"/>
  <c r="K40" i="21"/>
  <c r="K39" i="21"/>
  <c r="J38" i="21"/>
  <c r="K38" i="21" s="1"/>
  <c r="J37" i="21"/>
  <c r="K37" i="21" s="1"/>
  <c r="J36" i="21"/>
  <c r="K36" i="21" s="1"/>
  <c r="K35" i="21"/>
  <c r="F35" i="21"/>
  <c r="K34" i="21"/>
  <c r="K33" i="21"/>
  <c r="E32" i="21"/>
  <c r="J31" i="21"/>
  <c r="K31" i="21" s="1"/>
  <c r="J30" i="21"/>
  <c r="E29" i="21"/>
  <c r="K28" i="21"/>
  <c r="K27" i="21"/>
  <c r="J26" i="21"/>
  <c r="J25" i="21" s="1"/>
  <c r="J24" i="21"/>
  <c r="K24" i="21" s="1"/>
  <c r="J23" i="21"/>
  <c r="K23" i="21" s="1"/>
  <c r="J22" i="21"/>
  <c r="K22" i="21" s="1"/>
  <c r="J21" i="21"/>
  <c r="K21" i="21" s="1"/>
  <c r="K20" i="21"/>
  <c r="J19" i="21"/>
  <c r="J18" i="21"/>
  <c r="K18" i="21" s="1"/>
  <c r="K16" i="21"/>
  <c r="E15" i="21"/>
  <c r="J14" i="21"/>
  <c r="E13" i="21"/>
  <c r="K12" i="21"/>
  <c r="J11" i="21"/>
  <c r="E10" i="21"/>
  <c r="K9" i="21"/>
  <c r="K8" i="21"/>
  <c r="E7" i="21"/>
  <c r="E6" i="21" l="1"/>
  <c r="C7" i="26" s="1"/>
  <c r="C11" i="26" s="1"/>
  <c r="K7" i="21"/>
  <c r="K26" i="21"/>
  <c r="K25" i="21" s="1"/>
  <c r="K32" i="21"/>
  <c r="K11" i="21"/>
  <c r="K10" i="21" s="1"/>
  <c r="J10" i="21"/>
  <c r="K30" i="21"/>
  <c r="K29" i="21" s="1"/>
  <c r="J29" i="21"/>
  <c r="K48" i="21"/>
  <c r="K47" i="21" s="1"/>
  <c r="J47" i="21"/>
  <c r="K46" i="21"/>
  <c r="K45" i="21" s="1"/>
  <c r="J57" i="21"/>
  <c r="K14" i="21"/>
  <c r="K13" i="21" s="1"/>
  <c r="J13" i="21"/>
  <c r="J32" i="21"/>
  <c r="K57" i="21"/>
  <c r="J7" i="21"/>
  <c r="K19" i="21"/>
  <c r="K15" i="21" s="1"/>
  <c r="J15" i="21"/>
  <c r="G8" i="19"/>
  <c r="G10" i="19"/>
  <c r="G16" i="19"/>
  <c r="G17" i="19"/>
  <c r="H17" i="19" s="1"/>
  <c r="G18" i="19"/>
  <c r="H18" i="19" s="1"/>
  <c r="G19" i="19"/>
  <c r="H19" i="19" s="1"/>
  <c r="H6" i="20"/>
  <c r="D6" i="20"/>
  <c r="H8" i="20"/>
  <c r="H9" i="20"/>
  <c r="H7" i="20"/>
  <c r="G8" i="20"/>
  <c r="G9" i="20"/>
  <c r="G7" i="20"/>
  <c r="G40" i="18"/>
  <c r="J6" i="21" l="1"/>
  <c r="K6" i="21"/>
  <c r="D7" i="26" s="1"/>
  <c r="H16" i="19"/>
  <c r="H10" i="19"/>
  <c r="H9" i="19" s="1"/>
  <c r="G9" i="19"/>
  <c r="H8" i="19"/>
  <c r="H7" i="19" s="1"/>
  <c r="G7" i="19"/>
  <c r="H40" i="18"/>
  <c r="H39" i="18" s="1"/>
  <c r="G39" i="18"/>
  <c r="G10" i="18"/>
  <c r="G9" i="18" s="1"/>
  <c r="G14" i="18"/>
  <c r="H16" i="18"/>
  <c r="H15" i="18" s="1"/>
  <c r="G27" i="18"/>
  <c r="G23" i="18" s="1"/>
  <c r="G34" i="18"/>
  <c r="G38" i="18"/>
  <c r="H38" i="18" s="1"/>
  <c r="G6" i="19" l="1"/>
  <c r="H6" i="19"/>
  <c r="H34" i="18"/>
  <c r="H33" i="18" s="1"/>
  <c r="G33" i="18"/>
  <c r="H27" i="18"/>
  <c r="H23" i="18" s="1"/>
  <c r="H14" i="18"/>
  <c r="H13" i="18" s="1"/>
  <c r="G13" i="18"/>
  <c r="G6" i="18" s="1"/>
  <c r="H10" i="18"/>
  <c r="H9" i="18" s="1"/>
  <c r="H6" i="18" l="1"/>
  <c r="D8" i="26" s="1"/>
  <c r="D11" i="26" s="1"/>
  <c r="E12" i="10"/>
  <c r="E6" i="10" l="1"/>
</calcChain>
</file>

<file path=xl/sharedStrings.xml><?xml version="1.0" encoding="utf-8"?>
<sst xmlns="http://schemas.openxmlformats.org/spreadsheetml/2006/main" count="750" uniqueCount="554">
  <si>
    <t>Bocas del Toro</t>
  </si>
  <si>
    <t>INSTITUTO DE ACUEDUCTOS Y ALCANTARILLADOS NACIONALES</t>
  </si>
  <si>
    <t>No.</t>
  </si>
  <si>
    <t>Fuente de Financiamiento</t>
  </si>
  <si>
    <t>Nombre del Proyecto</t>
  </si>
  <si>
    <t>Observación</t>
  </si>
  <si>
    <t>Total</t>
  </si>
  <si>
    <t>Chiriquí</t>
  </si>
  <si>
    <t>Lugar</t>
  </si>
  <si>
    <t>Panamá Metropolitana y San Miguelito</t>
  </si>
  <si>
    <t>Aporte de Gobierno, CAF II</t>
  </si>
  <si>
    <t>Aporte de Gobierno Central</t>
  </si>
  <si>
    <t>TOTAL</t>
  </si>
  <si>
    <t>DIRECCIÓN DE PLANIFICACIÓN</t>
  </si>
  <si>
    <t>PROYECTO</t>
  </si>
  <si>
    <t>CONTRATISTA</t>
  </si>
  <si>
    <t>COMENTARIOS</t>
  </si>
  <si>
    <t>CONSORCIO FCC</t>
  </si>
  <si>
    <t>OMNICOSULT</t>
  </si>
  <si>
    <t>APROCOSA</t>
  </si>
  <si>
    <t>INTERNACIONAL DE SEGURO</t>
  </si>
  <si>
    <t>COPISA</t>
  </si>
  <si>
    <t>MECO</t>
  </si>
  <si>
    <t>A&amp;S-COLON</t>
  </si>
  <si>
    <t>JOCA</t>
  </si>
  <si>
    <t>ESTUDIO DE INGENIERÍA, S.A.</t>
  </si>
  <si>
    <t>PROYECO</t>
  </si>
  <si>
    <t>PROINTEC</t>
  </si>
  <si>
    <t>HIDROGEOCOL</t>
  </si>
  <si>
    <t>CONSORCIO AGUA DE LA PULIDA</t>
  </si>
  <si>
    <t>Estudio, Diseño y Construcción, Ext. Colectora Sanitaria, Barriada Ana, San José y Carretera Principal - Las Tablas Abajo</t>
  </si>
  <si>
    <t>MONTO B/.</t>
  </si>
  <si>
    <t>N°</t>
  </si>
  <si>
    <t>SALDO A PAGAR B/.</t>
  </si>
  <si>
    <t>AVANCE FINANCIERO (%)</t>
  </si>
  <si>
    <t xml:space="preserve"> AVANCE FÍSICO (%)</t>
  </si>
  <si>
    <t>CAJA DE AHORROS</t>
  </si>
  <si>
    <t>Se paga por comisión de desembolso</t>
  </si>
  <si>
    <t>SYPNAPSIS</t>
  </si>
  <si>
    <t>Se está en el mantenimiento del sistema. Son 2 mantenimientos al año Enero y Julio por 5 años hasta el año 2022.</t>
  </si>
  <si>
    <t>ERNST &amp; YOUNG</t>
  </si>
  <si>
    <t xml:space="preserve">CONSULTORIAS </t>
  </si>
  <si>
    <t>% DE AVANCE FÍSICO</t>
  </si>
  <si>
    <t>% DE AVANCE FINANCIERO</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</si>
  <si>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</si>
  <si>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</si>
  <si>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</si>
  <si>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</si>
  <si>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</si>
  <si>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</si>
  <si>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</si>
  <si>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</si>
  <si>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SUPERVISIÓN EN CONCEPCION VOLCAN, POTRERILLO Y DOLEGA -BID</t>
  </si>
  <si>
    <t>GLOBETEC</t>
  </si>
  <si>
    <t xml:space="preserve"> % AVANCE FÍSICO</t>
  </si>
  <si>
    <t>PAGADO B/.</t>
  </si>
  <si>
    <t>Observación:</t>
  </si>
  <si>
    <t>INVERSIONES - CONSULTORÍAS</t>
  </si>
  <si>
    <t>Fidecoimiso de la Administración</t>
  </si>
  <si>
    <t>Sistema de Gerencia del IDAAN</t>
  </si>
  <si>
    <t>Auditoria del Programa del BID</t>
  </si>
  <si>
    <t>%  AVANCE FINANCIERO</t>
  </si>
  <si>
    <t>Saldo a Pagar B/.</t>
  </si>
  <si>
    <t>PROYECTOS DE INVERSIONES -   EN TRÁMITE</t>
  </si>
  <si>
    <t>Provincia</t>
  </si>
  <si>
    <t>Monto + Adenda B/.</t>
  </si>
  <si>
    <t>Número de Beneficiados</t>
  </si>
  <si>
    <t>% Avance Físico</t>
  </si>
  <si>
    <t>% Avance Fínanciero</t>
  </si>
  <si>
    <t>Pagado B/.</t>
  </si>
  <si>
    <t>TOTAL B/.</t>
  </si>
  <si>
    <t>Aporte Gobierno Central</t>
  </si>
  <si>
    <t>Changuinola y Alrededores</t>
  </si>
  <si>
    <t>Changuinola - Construcción del Sistema de Alcantarillado Sanitario  y Diseños y Construcción de la Planta de Tratamiento de Aguas Servidas.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</si>
  <si>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</si>
  <si>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</si>
  <si>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</si>
  <si>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</si>
  <si>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</si>
  <si>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</si>
  <si>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</si>
  <si>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</si>
  <si>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</si>
  <si>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</si>
  <si>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 xml:space="preserve">Rehabilitación de los Sistemas de Agua Potable </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</si>
  <si>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</si>
  <si>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</si>
  <si>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</si>
  <si>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Diseño de la Fase de Floculación y rehabilitación de Todos los Componentes de la PTAP de San Félix</t>
  </si>
  <si>
    <t>Rehabilitación de la Planta Potabilizadora de Los Algarrobos, David, Chiriquí</t>
  </si>
  <si>
    <t>Las Lajas, San Félix y Remedios</t>
  </si>
  <si>
    <t>Mejoramiento al acueducto</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</si>
  <si>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</si>
  <si>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</si>
  <si>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</si>
  <si>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</si>
  <si>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</si>
  <si>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</si>
  <si>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</si>
  <si>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</si>
  <si>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</si>
  <si>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</si>
  <si>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</si>
  <si>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</si>
  <si>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 xml:space="preserve"> Construcción del Sistema de Alcantarillado Sanitario
</t>
  </si>
  <si>
    <t>Construcción del Nuevo Sistema de Abastecimiento de Agua Potable</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</si>
  <si>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</si>
  <si>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</si>
  <si>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</si>
  <si>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</si>
  <si>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</si>
  <si>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</si>
  <si>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</si>
  <si>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</si>
  <si>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</si>
  <si>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</si>
  <si>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</si>
  <si>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</si>
  <si>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</si>
  <si>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</si>
  <si>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</si>
  <si>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</si>
  <si>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</si>
  <si>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</si>
  <si>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Calle H, San Miguelito</t>
  </si>
  <si>
    <t>Diseño y construcción de nueva línea de impulsión de 8" HD</t>
  </si>
  <si>
    <t>Sector 4, Pacora</t>
  </si>
  <si>
    <t> Diseño y Construcción de mejoras al Sistema de Distribución de Agua Potable</t>
  </si>
  <si>
    <t>Buenos Aires, San Isidro</t>
  </si>
  <si>
    <t xml:space="preserve">Mejoramiento al Sistema de Abastecimiento de Agua Potable </t>
  </si>
  <si>
    <t>Mejoramiento al Sistema de Abastecimiento de Agua Potable</t>
  </si>
  <si>
    <t>Panamá y Colón</t>
  </si>
  <si>
    <t>Administración y Supervisión de Proyectos (Supervisión)</t>
  </si>
  <si>
    <t>Panamá Centro</t>
  </si>
  <si>
    <t>Supervisión de Proyectos (Chorrillo, Santa Ana)</t>
  </si>
  <si>
    <t>Panamá Este</t>
  </si>
  <si>
    <t>Cañita de Chepo</t>
  </si>
  <si>
    <t>Mejoras al Sistema de Abastecimiento de Agua Potable de Cañitas, Distrito de Chepo</t>
  </si>
  <si>
    <t>Panamá Oeste</t>
  </si>
  <si>
    <t>Altos de Howard, El Tecal y Las Veraneras de Arraiján</t>
  </si>
  <si>
    <t xml:space="preserve">Diseño y Contrucción del Sistema de Acueducto </t>
  </si>
  <si>
    <t>Cocolí - Howard - Veracruz,</t>
  </si>
  <si>
    <t xml:space="preserve">Estudio, Diseño, Construcción, Operación y Mantenimiento de la Planta Potabilizadora </t>
  </si>
  <si>
    <t>San Carlos</t>
  </si>
  <si>
    <t xml:space="preserve">Diseño y Construcción de Mejoras al Sistema de Abastecimiento de Agua Potable </t>
  </si>
  <si>
    <t>Los Tecales, Arraijan</t>
  </si>
  <si>
    <t>Construcción del sistema de acueducto para la comunidad Los Tecales</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</si>
  <si>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</si>
  <si>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</si>
  <si>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</si>
  <si>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</si>
  <si>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</si>
  <si>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</si>
  <si>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</si>
  <si>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</si>
  <si>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</si>
  <si>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</si>
  <si>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</si>
  <si>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</si>
  <si>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</si>
  <si>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</si>
  <si>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</si>
  <si>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</si>
  <si>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</si>
  <si>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</si>
  <si>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 xml:space="preserve">Contratación de los Servicios para aumentar la Capacidad de Almacenamiento de Agua Cruda en la Laguna Big Creek como fuente de Abastecimiento </t>
  </si>
  <si>
    <t>A Nivel Distrito</t>
  </si>
  <si>
    <t>Supervisión Técnica, Administrativa, Ambiental y Social del Contrato de Mejoras de la Eficiencia de los Servicios de AP y Saneamiento</t>
  </si>
  <si>
    <t>Santa Rita Arriba, Providencia</t>
  </si>
  <si>
    <t xml:space="preserve"> Mejoras a la Estación de Bombeo </t>
  </si>
  <si>
    <t>Potrerrillo y Dolega</t>
  </si>
  <si>
    <t>Volcán, Potrerillos, Concepción y Dolega</t>
  </si>
  <si>
    <t>Supervisión de las Obras</t>
  </si>
  <si>
    <t>Puerto Armuelles</t>
  </si>
  <si>
    <t xml:space="preserve">Ampliación y Mejoras del Sistema de Alcantarillado Sanitario </t>
  </si>
  <si>
    <t xml:space="preserve">Mejoras al Sistema de Acueducto </t>
  </si>
  <si>
    <t>San Pabo Viejo, San José</t>
  </si>
  <si>
    <t>San Pablo Viejo</t>
  </si>
  <si>
    <t>Línea de Conducción Cerro San Cristóbal-Barriada San José (San Pablo Viejo-Vía Interamericana)</t>
  </si>
  <si>
    <t>Los Santos</t>
  </si>
  <si>
    <t>Pedasí</t>
  </si>
  <si>
    <t>BID</t>
  </si>
  <si>
    <t>Supervisión de la Obra de rehabilitación del Sistema de AP y Alcantarillado</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</si>
  <si>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</si>
  <si>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</si>
  <si>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</si>
  <si>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</si>
  <si>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</si>
  <si>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</si>
  <si>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</si>
  <si>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</si>
  <si>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</si>
  <si>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</si>
  <si>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Limajo</t>
  </si>
  <si>
    <t>Construcción y Mejoras al Sistema de Abastecimiento de Agua Portable</t>
  </si>
  <si>
    <t>Burunga</t>
  </si>
  <si>
    <t>Construcción de la Red de Impulsión con el Sistema de Bombeo a los Nuevos Tanques de Burunga</t>
  </si>
  <si>
    <t>Loma del Río, Arraiján</t>
  </si>
  <si>
    <t>Montijo</t>
  </si>
  <si>
    <t xml:space="preserve">Montijo, </t>
  </si>
  <si>
    <t xml:space="preserve">Mejoramiento al sistema de acueducto </t>
  </si>
  <si>
    <t>Construcción y Ampliación del Sistema de Alcantarillado de Puerto Armuelles.</t>
  </si>
  <si>
    <t>Construcción del Sistema de Agua Potable de la comunidad de Boquerón y Alanje, Etapa II</t>
  </si>
  <si>
    <t>Darién</t>
  </si>
  <si>
    <t>Construcción del Sistema de Alcantarillado de Metetí.</t>
  </si>
  <si>
    <t>Panamá Metropolitana</t>
  </si>
  <si>
    <t>Construcción del Alcantarillado de Mamey Sector No.1 y Calle No.2 Turín, San Miguelito</t>
  </si>
  <si>
    <t>Construcción de la red de acueducto del sector de Chilibre Pedernal (Jalisco, Agua Bendita y Pedernal).</t>
  </si>
  <si>
    <t>Construcción del Sistema de Acueducto y Alcantarilado de Urbanización de la Pulida y el Churrasco del Distrito San Miguelito.</t>
  </si>
  <si>
    <t>Mejoramiento al Acueducto de las Comunidad de Santa Cruz, La Primavera, Villalobos,Correg. De Pedregal</t>
  </si>
  <si>
    <t>Construcción de Red de Distribución de Nuevo Chorrillo, Chapala</t>
  </si>
  <si>
    <t>Línea de Conducción de Chorrera - Capira</t>
  </si>
  <si>
    <t>Arraiján</t>
  </si>
  <si>
    <t>Construcción de red de distribución de  de Chorrera a Arraiján</t>
  </si>
  <si>
    <t>Rehabilitación, Operación y Mantenimiento de Plantas de Tratamientos de Aguas Residuales, ubicadas en Panamá y Panamá Oeste</t>
  </si>
  <si>
    <t>Panamá y Panamá Oeste</t>
  </si>
  <si>
    <t xml:space="preserve">Contratista: Consorcio BS Panamá
Contrato No:55-2018                                Orden de Proceder: 1 de febrero de 2019 Fecha de Terminación: 21 de enero de 2021. </t>
  </si>
  <si>
    <t>Mejoras a la toma de agua cruda de Changuinola</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</si>
  <si>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</si>
  <si>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</si>
  <si>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</si>
  <si>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</si>
  <si>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</si>
  <si>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 xml:space="preserve">Proyecto Integral para el Abastecimiento de Agua Potable al Corregimiento de los Pozos, incluye Diseño y Construcción de Pozo Profundo, </t>
  </si>
  <si>
    <t>Herrera</t>
  </si>
  <si>
    <t>Construcción del Sistema de Abastecimiento de Agua Potable de las comunidades de Chame, Gorgona, Bejuco, Coronado y sectores aledaños del distrito de Chame. Planta Potabilizadora de 4 M.G.D.</t>
  </si>
  <si>
    <t>Mejoras a la Red de Abastecimiento de Agua de Santiago y sus Alrededores</t>
  </si>
  <si>
    <t>Reparación de Fugas, cambio de válvulas e hidrante en la subregion de Panamá Centro, Area Revertida y Tocumen</t>
  </si>
  <si>
    <t xml:space="preserve"> Como el contrato de préstamo se extendió hasta el 2020, se requiere de una adenda. </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</si>
  <si>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</si>
  <si>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</si>
  <si>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</si>
  <si>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</si>
  <si>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</si>
  <si>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</si>
  <si>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Estudio y Diseño, para las Mejoras y Ampliación de los Sistemas  de Abastecimiento de Agua Potable de Corregimientos del Progreso, Rodolfo Aguilar Delgado y Puerto Armuelles,</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</si>
  <si>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</si>
  <si>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</si>
  <si>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</si>
  <si>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Contratista: Globetec Construction           Contrato:    COC-01-BIRF-2014                  Orden de Proceder: 26 de marzo de 2014      Fecha de Terminación: 3 de diciembre de 2016                                                              Status:.Los expedientes se encuentran en la parte legal del IDAAN, estan siendo revisados.</t>
  </si>
  <si>
    <t>Línea de Conducción Pacora Tanara Tataré.</t>
  </si>
  <si>
    <t>Contratista: Globetec Construction           Contrato:    COC-01-CAFF-2014                  Orden de Proceder: 15 de mayo de 2014      Fecha de Terminación: 30 de enero de 2016    Status:..En trámite para rescindir el contrato. El tribunal emitió fallo a favor del IDAAN.</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</si>
  <si>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</si>
  <si>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</si>
  <si>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</si>
  <si>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Contratista: Globetec Constructions      Contrato:    COC-BID (FID-128-No.18      Orden de Proceder: 26 de abril de 2016     Fecha de Terminación: 19 de agosto de 2017.                                                                 Status:Contratista apela a instancias superiores, posterior a fallo a favor del Idaan del Tribunal. Contrato rescindido.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</si>
  <si>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</si>
  <si>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</si>
  <si>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</si>
  <si>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</si>
  <si>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</si>
  <si>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 xml:space="preserve">Aporte de Gobierno Central, </t>
  </si>
  <si>
    <t>Aporte de Gobierno Central y CAF</t>
  </si>
  <si>
    <t>Contrato</t>
  </si>
  <si>
    <t>Por definir</t>
  </si>
  <si>
    <t>37-2019</t>
  </si>
  <si>
    <t>CS(FID-128)N.01</t>
  </si>
  <si>
    <r>
      <rPr>
        <b/>
        <sz val="11"/>
        <color theme="1"/>
        <rFont val="Arial Narrow"/>
        <family val="2"/>
      </rPr>
      <t>Chiriquí Grande</t>
    </r>
    <r>
      <rPr>
        <sz val="11"/>
        <color theme="1"/>
        <rFont val="Arial Narrow"/>
        <family val="2"/>
      </rPr>
      <t xml:space="preserve">. Estudio, Diseño, Construcción, Operación y Mantenimiento de Planta Potabilizadora </t>
    </r>
  </si>
  <si>
    <r>
      <rPr>
        <b/>
        <sz val="12"/>
        <rFont val="Arial Narrow"/>
        <family val="2"/>
      </rPr>
      <t xml:space="preserve">Isla Colón </t>
    </r>
    <r>
      <rPr>
        <sz val="12"/>
        <rFont val="Arial Narrow"/>
        <family val="2"/>
      </rPr>
      <t xml:space="preserve">- Estudio, Diseño, Construcción, Operación y Mantenimiento de las Mejoras al sistema de acueducto  Potabilizadora </t>
    </r>
  </si>
  <si>
    <r>
      <rPr>
        <b/>
        <sz val="12"/>
        <rFont val="Arial Narrow"/>
        <family val="2"/>
      </rPr>
      <t>Puerto Armuelles</t>
    </r>
    <r>
      <rPr>
        <sz val="12"/>
        <rFont val="Arial Narrow"/>
        <family val="2"/>
      </rPr>
      <t xml:space="preserve"> - Construcción de Intradomiciliarias Sanitarias </t>
    </r>
  </si>
  <si>
    <t xml:space="preserve">Programa: Mejoramiento a la Gestión Operativa del IDAAN (Asesoría y Asistencia Técnica) en la Zona Urbana de Panamá, </t>
  </si>
  <si>
    <t>Aporte de Gobierno Central, BID</t>
  </si>
  <si>
    <r>
      <rPr>
        <b/>
        <u/>
        <sz val="12"/>
        <color theme="1"/>
        <rFont val="Arial Narrow"/>
        <family val="2"/>
      </rPr>
      <t>Contratista</t>
    </r>
    <r>
      <rPr>
        <u/>
        <sz val="12"/>
        <color theme="1"/>
        <rFont val="Arial Narrow"/>
        <family val="2"/>
      </rPr>
      <t>:</t>
    </r>
    <r>
      <rPr>
        <sz val="12"/>
        <color theme="1"/>
        <rFont val="Arial Narrow"/>
        <family val="2"/>
      </rPr>
      <t xml:space="preserve"> Consorcio Sanidad de Puerto LCC Ingenieria.                       El contrato se encuentra en Asesoria Legal de la Instittución para confección de contrato.</t>
    </r>
  </si>
  <si>
    <t xml:space="preserve"> Adenda</t>
  </si>
  <si>
    <t>Estudio, diseño, construcción, operación y mantenimiento de  planta potabilizadora.</t>
  </si>
  <si>
    <r>
      <rPr>
        <b/>
        <sz val="10"/>
        <color rgb="FF000000"/>
        <rFont val="Arial Narrow"/>
        <family val="2"/>
      </rPr>
      <t>Contratista:</t>
    </r>
    <r>
      <rPr>
        <sz val="10"/>
        <color rgb="FF000000"/>
        <rFont val="Arial Narrow"/>
        <family val="2"/>
      </rPr>
      <t xml:space="preserve"> CONSORCIO ASOCSA E INTERASEO                                             </t>
    </r>
    <r>
      <rPr>
        <b/>
        <sz val="10"/>
        <color rgb="FF000000"/>
        <rFont val="Arial Narrow"/>
        <family val="2"/>
      </rPr>
      <t>Contrato</t>
    </r>
    <r>
      <rPr>
        <sz val="10"/>
        <color rgb="FF000000"/>
        <rFont val="Arial Narrow"/>
        <family val="2"/>
      </rPr>
      <t xml:space="preserve"> No:  130-2017                             </t>
    </r>
    <r>
      <rPr>
        <b/>
        <sz val="10"/>
        <color rgb="FF000000"/>
        <rFont val="Arial Narrow"/>
        <family val="2"/>
      </rPr>
      <t>Orden de Procede</t>
    </r>
    <r>
      <rPr>
        <sz val="10"/>
        <color rgb="FF000000"/>
        <rFont val="Arial Narrow"/>
        <family val="2"/>
      </rPr>
      <t xml:space="preserve">r 8 de febrero 2018.     </t>
    </r>
    <r>
      <rPr>
        <b/>
        <sz val="10"/>
        <color rgb="FF000000"/>
        <rFont val="Arial Narrow"/>
        <family val="2"/>
      </rPr>
      <t>Fecha de Terminación</t>
    </r>
    <r>
      <rPr>
        <sz val="10"/>
        <color rgb="FF000000"/>
        <rFont val="Arial Narrow"/>
        <family val="2"/>
      </rPr>
      <t>: 8 de febrero de 2020. Se realizaron las instalaciones de tuberias con sus respectivas salida domiciliarias,</t>
    </r>
  </si>
  <si>
    <t>Supervisición de los Proyectos de Jacú, Divalá</t>
  </si>
  <si>
    <r>
      <rPr>
        <b/>
        <sz val="10"/>
        <color rgb="FF000000"/>
        <rFont val="Arial Narrow"/>
        <family val="2"/>
      </rPr>
      <t>Contratista</t>
    </r>
    <r>
      <rPr>
        <sz val="10"/>
        <color rgb="FF000000"/>
        <rFont val="Arial Narrow"/>
        <family val="2"/>
      </rPr>
      <t xml:space="preserve">; Consorcio Almirante                     </t>
    </r>
    <r>
      <rPr>
        <b/>
        <sz val="10"/>
        <color rgb="FF000000"/>
        <rFont val="Arial Narrow"/>
        <family val="2"/>
      </rPr>
      <t>Contrato</t>
    </r>
    <r>
      <rPr>
        <sz val="10"/>
        <color rgb="FF000000"/>
        <rFont val="Arial Narrow"/>
        <family val="2"/>
      </rPr>
      <t xml:space="preserve">; COC_CAF-2018 (FID-128) No.60                                                              </t>
    </r>
    <r>
      <rPr>
        <b/>
        <sz val="10"/>
        <color rgb="FF000000"/>
        <rFont val="Arial Narrow"/>
        <family val="2"/>
      </rPr>
      <t>Orden de proceder:</t>
    </r>
    <r>
      <rPr>
        <sz val="10"/>
        <color rgb="FF000000"/>
        <rFont val="Arial Narrow"/>
        <family val="2"/>
      </rPr>
      <t xml:space="preserve"> 18 de julio de 2018.  </t>
    </r>
    <r>
      <rPr>
        <b/>
        <sz val="10"/>
        <color rgb="FF000000"/>
        <rFont val="Arial Narrow"/>
        <family val="2"/>
      </rPr>
      <t>Fecha de Terminación</t>
    </r>
    <r>
      <rPr>
        <sz val="10"/>
        <color rgb="FF000000"/>
        <rFont val="Arial Narrow"/>
        <family val="2"/>
      </rPr>
      <t xml:space="preserve">: 9 de marzo de 2020.                                                                La Etapa de Estudio y Diseños, tiene un 95% de avance. El Terreno de la PTAR, está aprobado por ANATI, en trámite de traspaso. En la Planta de Tratamiento de Aguas Residuales se encuentra en movimiento de tierra. Se estan en la espera de aprobación de las estructuras de la PTAR, se encuentra en las últimas subsanaciones. En evaluación de extensión de tiempo.    </t>
    </r>
  </si>
  <si>
    <r>
      <rPr>
        <b/>
        <sz val="10"/>
        <color rgb="FF000000"/>
        <rFont val="Arial Narrow"/>
        <family val="2"/>
      </rPr>
      <t>Contratista:</t>
    </r>
    <r>
      <rPr>
        <sz val="10"/>
        <color rgb="FF000000"/>
        <rFont val="Arial Narrow"/>
        <family val="2"/>
      </rPr>
      <t xml:space="preserve">  Consorcio Aqua 2                    </t>
    </r>
    <r>
      <rPr>
        <b/>
        <sz val="10"/>
        <color rgb="FF000000"/>
        <rFont val="Arial Narrow"/>
        <family val="2"/>
      </rPr>
      <t>Orden de Proceder:</t>
    </r>
    <r>
      <rPr>
        <sz val="10"/>
        <color rgb="FF000000"/>
        <rFont val="Arial Narrow"/>
        <family val="2"/>
      </rPr>
      <t xml:space="preserve"> 3 de abril de 2018      </t>
    </r>
    <r>
      <rPr>
        <b/>
        <sz val="10"/>
        <color rgb="FF000000"/>
        <rFont val="Arial Narrow"/>
        <family val="2"/>
      </rPr>
      <t>Fecha de Terminación</t>
    </r>
    <r>
      <rPr>
        <sz val="10"/>
        <color rgb="FF000000"/>
        <rFont val="Arial Narrow"/>
        <family val="2"/>
      </rPr>
      <t xml:space="preserve">: 3 de julio de 2020  Supervisa la ejecución de los proyectos de la Planta Potabilizadora de Villa Darién, Isla Contadora, Acueducto El Real.     </t>
    </r>
  </si>
  <si>
    <t>En trámite Adenda No.3 y endoso de fianza hasta 1-jul-2021; incremento económico (B/.539,013.97) y extensión de tiempo al Contrato, en Oficina de Fiscalización para su refrendo</t>
  </si>
  <si>
    <r>
      <rPr>
        <b/>
        <sz val="10"/>
        <rFont val="Arial Narrow"/>
        <family val="2"/>
      </rPr>
      <t>Contratista:</t>
    </r>
    <r>
      <rPr>
        <sz val="10"/>
        <rFont val="Arial Narrow"/>
        <family val="2"/>
      </rPr>
      <t xml:space="preserve"> Estudios de Ingeniería, S.A.   </t>
    </r>
    <r>
      <rPr>
        <b/>
        <sz val="10"/>
        <rFont val="Arial Narrow"/>
        <family val="2"/>
      </rPr>
      <t>Contrato No</t>
    </r>
    <r>
      <rPr>
        <sz val="10"/>
        <rFont val="Arial Narrow"/>
        <family val="2"/>
      </rPr>
      <t xml:space="preserve">.139-2014.                             </t>
    </r>
    <r>
      <rPr>
        <b/>
        <sz val="10"/>
        <rFont val="Arial Narrow"/>
        <family val="2"/>
      </rPr>
      <t>Orden de Proceder:</t>
    </r>
    <r>
      <rPr>
        <sz val="10"/>
        <rFont val="Arial Narrow"/>
        <family val="2"/>
      </rPr>
      <t xml:space="preserve"> 1 de junio de 2015.   </t>
    </r>
    <r>
      <rPr>
        <b/>
        <sz val="10"/>
        <rFont val="Arial Narrow"/>
        <family val="2"/>
      </rPr>
      <t>Fecha de Terminación:</t>
    </r>
    <r>
      <rPr>
        <sz val="10"/>
        <rFont val="Arial Narrow"/>
        <family val="2"/>
      </rPr>
      <t xml:space="preserve">13 de septiembre 2020. (Etapa de Operación y Mantenimiento hasta el 10/10/2020)
</t>
    </r>
  </si>
  <si>
    <r>
      <rPr>
        <b/>
        <sz val="10"/>
        <color rgb="FF000000"/>
        <rFont val="Arial Narrow"/>
        <family val="2"/>
      </rPr>
      <t>Contratista:</t>
    </r>
    <r>
      <rPr>
        <sz val="10"/>
        <color rgb="FF000000"/>
        <rFont val="Arial Narrow"/>
        <family val="2"/>
      </rPr>
      <t xml:space="preserve"> Consorcio Parita Extraco-Joca  </t>
    </r>
    <r>
      <rPr>
        <b/>
        <sz val="10"/>
        <color rgb="FF000000"/>
        <rFont val="Arial Narrow"/>
        <family val="2"/>
      </rPr>
      <t>Contrato No</t>
    </r>
    <r>
      <rPr>
        <sz val="10"/>
        <color rgb="FF000000"/>
        <rFont val="Arial Narrow"/>
        <family val="2"/>
      </rPr>
      <t xml:space="preserve">.16-2014                                   </t>
    </r>
    <r>
      <rPr>
        <b/>
        <sz val="10"/>
        <color rgb="FF000000"/>
        <rFont val="Arial Narrow"/>
        <family val="2"/>
      </rPr>
      <t>Orden de proceder</t>
    </r>
    <r>
      <rPr>
        <sz val="10"/>
        <color rgb="FF000000"/>
        <rFont val="Arial Narrow"/>
        <family val="2"/>
      </rPr>
      <t xml:space="preserve">: 9 de marzo de 2015  </t>
    </r>
    <r>
      <rPr>
        <b/>
        <sz val="10"/>
        <color rgb="FF000000"/>
        <rFont val="Arial Narrow"/>
        <family val="2"/>
      </rPr>
      <t>Fecha de Terminación</t>
    </r>
    <r>
      <rPr>
        <sz val="10"/>
        <color rgb="FF000000"/>
        <rFont val="Arial Narrow"/>
        <family val="2"/>
      </rPr>
      <t xml:space="preserve">: 1 de julio de 2019 (Incluye Operación y Mantenimiento).                                                  </t>
    </r>
  </si>
  <si>
    <r>
      <rPr>
        <b/>
        <sz val="10"/>
        <color rgb="FF000000"/>
        <rFont val="Arial Narrow"/>
        <family val="2"/>
      </rPr>
      <t>Contratista:</t>
    </r>
    <r>
      <rPr>
        <sz val="10"/>
        <color rgb="FF000000"/>
        <rFont val="Arial Narrow"/>
        <family val="2"/>
      </rPr>
      <t xml:space="preserve"> Aquialogy LATAM                     </t>
    </r>
    <r>
      <rPr>
        <b/>
        <sz val="10"/>
        <color rgb="FF000000"/>
        <rFont val="Arial Narrow"/>
        <family val="2"/>
      </rPr>
      <t>Contrato No.</t>
    </r>
    <r>
      <rPr>
        <sz val="10"/>
        <color rgb="FF000000"/>
        <rFont val="Arial Narrow"/>
        <family val="2"/>
      </rPr>
      <t xml:space="preserve">: COC-01-CAF-2016           </t>
    </r>
    <r>
      <rPr>
        <b/>
        <sz val="10"/>
        <color rgb="FF000000"/>
        <rFont val="Arial Narrow"/>
        <family val="2"/>
      </rPr>
      <t>Contratista:</t>
    </r>
    <r>
      <rPr>
        <sz val="10"/>
        <color rgb="FF000000"/>
        <rFont val="Arial Narrow"/>
        <family val="2"/>
      </rPr>
      <t xml:space="preserve"> Aqualogy Latam S.A.S.E.S.P. </t>
    </r>
    <r>
      <rPr>
        <b/>
        <sz val="10"/>
        <color rgb="FF000000"/>
        <rFont val="Arial Narrow"/>
        <family val="2"/>
      </rPr>
      <t xml:space="preserve">Orden de Proceder: </t>
    </r>
    <r>
      <rPr>
        <sz val="10"/>
        <color rgb="FF000000"/>
        <rFont val="Arial Narrow"/>
        <family val="2"/>
      </rPr>
      <t xml:space="preserve">11 de abril de 2016     </t>
    </r>
    <r>
      <rPr>
        <b/>
        <sz val="10"/>
        <color rgb="FF000000"/>
        <rFont val="Arial Narrow"/>
        <family val="2"/>
      </rPr>
      <t>Fecha de Terminación:</t>
    </r>
    <r>
      <rPr>
        <sz val="10"/>
        <color rgb="FF000000"/>
        <rFont val="Arial Narrow"/>
        <family val="2"/>
      </rPr>
      <t xml:space="preserve"> 9 de enero de 2021. Se estan realizando reuniones internan con el fin de evaluar el avance físico del proyecto y tomar las desiciones del contrato.</t>
    </r>
  </si>
  <si>
    <t>En trámite en la Contraloría, Adenda No.1 de tiempo por 510 días adicionales y costos (B/.185,601.30); el Contratista actualizo la fianza y la aseguradora</t>
  </si>
  <si>
    <r>
      <rPr>
        <b/>
        <sz val="10"/>
        <color rgb="FF000000"/>
        <rFont val="Arial Narrow"/>
        <family val="2"/>
      </rPr>
      <t>Contratista</t>
    </r>
    <r>
      <rPr>
        <sz val="10"/>
        <color rgb="FF000000"/>
        <rFont val="Arial Narrow"/>
        <family val="2"/>
      </rPr>
      <t xml:space="preserve">: Asociación Accidental HALFES.A. E INFERSA
</t>
    </r>
    <r>
      <rPr>
        <b/>
        <sz val="10"/>
        <color rgb="FF000000"/>
        <rFont val="Arial Narrow"/>
        <family val="2"/>
      </rPr>
      <t>Contrato No</t>
    </r>
    <r>
      <rPr>
        <sz val="10"/>
        <color rgb="FF000000"/>
        <rFont val="Arial Narrow"/>
        <family val="2"/>
      </rPr>
      <t xml:space="preserve">: 120-2015                                </t>
    </r>
    <r>
      <rPr>
        <b/>
        <sz val="10"/>
        <color rgb="FF000000"/>
        <rFont val="Arial Narrow"/>
        <family val="2"/>
      </rPr>
      <t>Orden de Proceder</t>
    </r>
    <r>
      <rPr>
        <sz val="10"/>
        <color rgb="FF000000"/>
        <rFont val="Arial Narrow"/>
        <family val="2"/>
      </rPr>
      <t xml:space="preserve">: 15 de Marzo de 2016 </t>
    </r>
    <r>
      <rPr>
        <b/>
        <sz val="10"/>
        <color rgb="FF000000"/>
        <rFont val="Arial Narrow"/>
        <family val="2"/>
      </rPr>
      <t>Fecha de Terminación:</t>
    </r>
    <r>
      <rPr>
        <sz val="10"/>
        <color rgb="FF000000"/>
        <rFont val="Arial Narrow"/>
        <family val="2"/>
      </rPr>
      <t xml:space="preserve"> 21 de abril de 2019. En trámite adenda de tiempo hasta marzo de 2020.</t>
    </r>
  </si>
  <si>
    <t xml:space="preserve">En proceso informe para extender la etapa de construcción hasta marzo de 2020, mediante Adenda No.5.  </t>
  </si>
  <si>
    <r>
      <rPr>
        <b/>
        <sz val="10"/>
        <color rgb="FF000000"/>
        <rFont val="Arial Narrow"/>
        <family val="2"/>
      </rPr>
      <t>Contratista:</t>
    </r>
    <r>
      <rPr>
        <sz val="10"/>
        <color rgb="FF000000"/>
        <rFont val="Arial Narrow"/>
        <family val="2"/>
      </rPr>
      <t xml:space="preserve"> Consorcio Aguas Panamá          </t>
    </r>
    <r>
      <rPr>
        <b/>
        <sz val="10"/>
        <color rgb="FF000000"/>
        <rFont val="Arial Narrow"/>
        <family val="2"/>
      </rPr>
      <t>Orden de Proceder</t>
    </r>
    <r>
      <rPr>
        <sz val="10"/>
        <color rgb="FF000000"/>
        <rFont val="Arial Narrow"/>
        <family val="2"/>
      </rPr>
      <t xml:space="preserve">; 27 de septiembre de 2018                                                         </t>
    </r>
    <r>
      <rPr>
        <b/>
        <sz val="10"/>
        <color rgb="FF000000"/>
        <rFont val="Arial Narrow"/>
        <family val="2"/>
      </rPr>
      <t>Fecha de Terminación:</t>
    </r>
    <r>
      <rPr>
        <sz val="10"/>
        <color rgb="FF000000"/>
        <rFont val="Arial Narrow"/>
        <family val="2"/>
      </rPr>
      <t>11 de octubre de 2021.    Supervisa los proyectos de la Planta Potabilizadora de Howard, Alto de Howard y Veraneras y Alcantarillado de San Carlos.</t>
    </r>
  </si>
  <si>
    <r>
      <rPr>
        <b/>
        <sz val="10"/>
        <color rgb="FF000000"/>
        <rFont val="Arial Narrow"/>
        <family val="2"/>
      </rPr>
      <t>Contratista</t>
    </r>
    <r>
      <rPr>
        <sz val="10"/>
        <color rgb="FF000000"/>
        <rFont val="Arial Narrow"/>
        <family val="2"/>
      </rPr>
      <t xml:space="preserve">: Proyeco, S.A                             </t>
    </r>
    <r>
      <rPr>
        <b/>
        <sz val="10"/>
        <color rgb="FF000000"/>
        <rFont val="Arial Narrow"/>
        <family val="2"/>
      </rPr>
      <t>Contrato</t>
    </r>
    <r>
      <rPr>
        <sz val="10"/>
        <color rgb="FF000000"/>
        <rFont val="Arial Narrow"/>
        <family val="2"/>
      </rPr>
      <t xml:space="preserve">: CC-01-CAF-2015                       </t>
    </r>
    <r>
      <rPr>
        <b/>
        <sz val="10"/>
        <color rgb="FF000000"/>
        <rFont val="Arial Narrow"/>
        <family val="2"/>
      </rPr>
      <t>Orden de Proceder</t>
    </r>
    <r>
      <rPr>
        <sz val="10"/>
        <color rgb="FF000000"/>
        <rFont val="Arial Narrow"/>
        <family val="2"/>
      </rPr>
      <t xml:space="preserve">:1 de abril de 2015    </t>
    </r>
    <r>
      <rPr>
        <b/>
        <sz val="10"/>
        <color rgb="FF000000"/>
        <rFont val="Arial Narrow"/>
        <family val="2"/>
      </rPr>
      <t>Fecha de Terminación:</t>
    </r>
    <r>
      <rPr>
        <sz val="10"/>
        <color rgb="FF000000"/>
        <rFont val="Arial Narrow"/>
        <family val="2"/>
      </rPr>
      <t xml:space="preserve"> 30 de septiembre de 2018.      Supervisa el proyecto de Línea de Conducción Chorrera - Capira.</t>
    </r>
  </si>
  <si>
    <t xml:space="preserve"> En trámite de adenda de tiempo en Contraloría.</t>
  </si>
  <si>
    <r>
      <rPr>
        <b/>
        <sz val="10"/>
        <color rgb="FF000000"/>
        <rFont val="Arial Narrow"/>
        <family val="2"/>
      </rPr>
      <t>Contratista:</t>
    </r>
    <r>
      <rPr>
        <sz val="10"/>
        <color rgb="FF000000"/>
        <rFont val="Arial Narrow"/>
        <family val="2"/>
      </rPr>
      <t xml:space="preserve"> Asteisa Tratamiento de Aguas , S.A.U.                                                         </t>
    </r>
    <r>
      <rPr>
        <b/>
        <sz val="10"/>
        <color rgb="FF000000"/>
        <rFont val="Arial Narrow"/>
        <family val="2"/>
      </rPr>
      <t>Contrato</t>
    </r>
    <r>
      <rPr>
        <sz val="10"/>
        <color rgb="FF000000"/>
        <rFont val="Arial Narrow"/>
        <family val="2"/>
      </rPr>
      <t xml:space="preserve">: COC_BID (FID-128) No. 47-2017 </t>
    </r>
    <r>
      <rPr>
        <b/>
        <sz val="10"/>
        <color rgb="FF000000"/>
        <rFont val="Arial Narrow"/>
        <family val="2"/>
      </rPr>
      <t>Orden de Procede</t>
    </r>
    <r>
      <rPr>
        <sz val="10"/>
        <color rgb="FF000000"/>
        <rFont val="Arial Narrow"/>
        <family val="2"/>
      </rPr>
      <t xml:space="preserve">r el 28 de mayo de 2018. </t>
    </r>
    <r>
      <rPr>
        <b/>
        <sz val="10"/>
        <color rgb="FF000000"/>
        <rFont val="Arial Narrow"/>
        <family val="2"/>
      </rPr>
      <t>Fecha de Terminación</t>
    </r>
    <r>
      <rPr>
        <sz val="10"/>
        <color rgb="FF000000"/>
        <rFont val="Arial Narrow"/>
        <family val="2"/>
      </rPr>
      <t>: 26 de mayo de 2020.</t>
    </r>
  </si>
  <si>
    <t>En revisión Informe Técnico para trámite de Adenda No.3 de tiempo (280 días adicionales).</t>
  </si>
  <si>
    <t>Acueducto de Tonosí</t>
  </si>
  <si>
    <t>En evaluación interna del idaan de adenda de tiempo hasta el 31 de julio de 2020, etapa constructiva.</t>
  </si>
  <si>
    <r>
      <rPr>
        <b/>
        <sz val="10"/>
        <color rgb="FF000000"/>
        <rFont val="Arial Narrow"/>
        <family val="2"/>
      </rPr>
      <t>Contratista:</t>
    </r>
    <r>
      <rPr>
        <sz val="10"/>
        <color rgb="FF000000"/>
        <rFont val="Arial Narrow"/>
        <family val="2"/>
      </rPr>
      <t xml:space="preserve"> Consorcio AB Chilibre, 
</t>
    </r>
    <r>
      <rPr>
        <b/>
        <sz val="10"/>
        <color rgb="FF000000"/>
        <rFont val="Arial Narrow"/>
        <family val="2"/>
      </rPr>
      <t>Contrato No</t>
    </r>
    <r>
      <rPr>
        <sz val="10"/>
        <color rgb="FF000000"/>
        <rFont val="Arial Narrow"/>
        <family val="2"/>
      </rPr>
      <t xml:space="preserve">. 10-2017                                  </t>
    </r>
    <r>
      <rPr>
        <b/>
        <sz val="10"/>
        <color rgb="FF000000"/>
        <rFont val="Arial Narrow"/>
        <family val="2"/>
      </rPr>
      <t>Orden de proceder:</t>
    </r>
    <r>
      <rPr>
        <sz val="10"/>
        <color rgb="FF000000"/>
        <rFont val="Arial Narrow"/>
        <family val="2"/>
      </rPr>
      <t xml:space="preserve"> 4 de septiembre de 2017.                                                             </t>
    </r>
    <r>
      <rPr>
        <b/>
        <sz val="10"/>
        <color rgb="FF000000"/>
        <rFont val="Arial Narrow"/>
        <family val="2"/>
      </rPr>
      <t>Fecha de terminación</t>
    </r>
    <r>
      <rPr>
        <sz val="10"/>
        <color rgb="FF000000"/>
        <rFont val="Arial Narrow"/>
        <family val="2"/>
      </rPr>
      <t xml:space="preserve">: 25 de agosto de 2020.                                                                        Los estudios y diseños se encuentran en un 98%.                                                                </t>
    </r>
    <r>
      <rPr>
        <b/>
        <sz val="10"/>
        <color rgb="FF000000"/>
        <rFont val="Arial Narrow"/>
        <family val="2"/>
      </rPr>
      <t>Etapa de Construcción</t>
    </r>
    <r>
      <rPr>
        <sz val="10"/>
        <color rgb="FF000000"/>
        <rFont val="Arial Narrow"/>
        <family val="2"/>
      </rPr>
      <t>: se realizan trabajos de excavación de redes de lodos, redes pluviables, continuán con la instalación de equipos en el DAF, cerramiento del edificio de deshidratación, montaje de equipos en el depósito de lodos.                                       En evaluación de la nueva cubierta del tanque de agua tratada.</t>
    </r>
  </si>
  <si>
    <t>En trámite Adenda No.5 para extensión de tiempo por 303 días a partir del 31-Dic-2018 hasta el 30-Oct-2019, pendiente de refrendo de la Contraloría.</t>
  </si>
  <si>
    <r>
      <rPr>
        <b/>
        <sz val="10"/>
        <color rgb="FF000000"/>
        <rFont val="Arial Narrow"/>
        <family val="2"/>
      </rPr>
      <t>Contratista</t>
    </r>
    <r>
      <rPr>
        <sz val="10"/>
        <color rgb="FF000000"/>
        <rFont val="Arial Narrow"/>
        <family val="2"/>
      </rPr>
      <t xml:space="preserve">:.Consorcio Aguas de Contadora    </t>
    </r>
    <r>
      <rPr>
        <b/>
        <sz val="10"/>
        <color rgb="FF000000"/>
        <rFont val="Arial Narrow"/>
        <family val="2"/>
      </rPr>
      <t>Contrato No</t>
    </r>
    <r>
      <rPr>
        <sz val="10"/>
        <color rgb="FF000000"/>
        <rFont val="Arial Narrow"/>
        <family val="2"/>
      </rPr>
      <t xml:space="preserve">: 112-2016                                </t>
    </r>
    <r>
      <rPr>
        <b/>
        <sz val="10"/>
        <color rgb="FF000000"/>
        <rFont val="Arial Narrow"/>
        <family val="2"/>
      </rPr>
      <t>Orden de Proceder:</t>
    </r>
    <r>
      <rPr>
        <sz val="10"/>
        <color rgb="FF000000"/>
        <rFont val="Arial Narrow"/>
        <family val="2"/>
      </rPr>
      <t xml:space="preserve"> 12 de diciembre de 2016.                                                              </t>
    </r>
    <r>
      <rPr>
        <b/>
        <sz val="10"/>
        <color rgb="FF000000"/>
        <rFont val="Arial Narrow"/>
        <family val="2"/>
      </rPr>
      <t>Fecha de Terminación</t>
    </r>
    <r>
      <rPr>
        <sz val="10"/>
        <color rgb="FF000000"/>
        <rFont val="Arial Narrow"/>
        <family val="2"/>
      </rPr>
      <t>: 14 de abril de  2020 (Etapa Constructiva).                            En trámite de los terrenos de la Desalinizadora.</t>
    </r>
  </si>
  <si>
    <r>
      <rPr>
        <b/>
        <sz val="10"/>
        <color rgb="FF000000"/>
        <rFont val="Arial Narrow"/>
        <family val="2"/>
      </rPr>
      <t>Contratista:</t>
    </r>
    <r>
      <rPr>
        <sz val="10"/>
        <color rgb="FF000000"/>
        <rFont val="Arial Narrow"/>
        <family val="2"/>
      </rPr>
      <t xml:space="preserve"> ETAP de Panamá y Colón.       </t>
    </r>
    <r>
      <rPr>
        <b/>
        <sz val="10"/>
        <color rgb="FF000000"/>
        <rFont val="Arial Narrow"/>
        <family val="2"/>
      </rPr>
      <t>Orden de Proceder</t>
    </r>
    <r>
      <rPr>
        <sz val="10"/>
        <color rgb="FF000000"/>
        <rFont val="Arial Narrow"/>
        <family val="2"/>
      </rPr>
      <t xml:space="preserve">: 26 de septiembre de 2018                                                         </t>
    </r>
    <r>
      <rPr>
        <b/>
        <sz val="10"/>
        <color rgb="FF000000"/>
        <rFont val="Arial Narrow"/>
        <family val="2"/>
      </rPr>
      <t>Fecha de Terminación</t>
    </r>
    <r>
      <rPr>
        <sz val="10"/>
        <color rgb="FF000000"/>
        <rFont val="Arial Narrow"/>
        <family val="2"/>
      </rPr>
      <t xml:space="preserve">: 8 de enero de 2022.                                                                  Supervisa los proyectos de las Plantas Potabilizadoras de Sabanitas, Chilibre, Gamboa.  </t>
    </r>
  </si>
  <si>
    <r>
      <rPr>
        <b/>
        <sz val="10"/>
        <color rgb="FF000000"/>
        <rFont val="Arial Narrow"/>
        <family val="2"/>
      </rPr>
      <t xml:space="preserve">Contrato </t>
    </r>
    <r>
      <rPr>
        <sz val="10"/>
        <color rgb="FF000000"/>
        <rFont val="Arial Narrow"/>
        <family val="2"/>
      </rPr>
      <t xml:space="preserve">No: 122-2015 
</t>
    </r>
    <r>
      <rPr>
        <b/>
        <sz val="10"/>
        <color rgb="FF000000"/>
        <rFont val="Arial Narrow"/>
        <family val="2"/>
      </rPr>
      <t>Contratista:</t>
    </r>
    <r>
      <rPr>
        <sz val="10"/>
        <color rgb="FF000000"/>
        <rFont val="Arial Narrow"/>
        <family val="2"/>
      </rPr>
      <t xml:space="preserve"> APROCOSA S.A 
</t>
    </r>
    <r>
      <rPr>
        <b/>
        <sz val="10"/>
        <color rgb="FF000000"/>
        <rFont val="Arial Narrow"/>
        <family val="2"/>
      </rPr>
      <t>Orden de proceder:</t>
    </r>
    <r>
      <rPr>
        <sz val="10"/>
        <color rgb="FF000000"/>
        <rFont val="Arial Narrow"/>
        <family val="2"/>
      </rPr>
      <t xml:space="preserve"> 10 de Febrero de 2016. </t>
    </r>
    <r>
      <rPr>
        <b/>
        <sz val="10"/>
        <color rgb="FF000000"/>
        <rFont val="Arial Narrow"/>
        <family val="2"/>
      </rPr>
      <t>Fecha de Terminación</t>
    </r>
    <r>
      <rPr>
        <sz val="10"/>
        <color rgb="FF000000"/>
        <rFont val="Arial Narrow"/>
        <family val="2"/>
      </rPr>
      <t xml:space="preserve">: 31 de octubre de 2019.                                                Solo queda pendiente la presentación de los Planos As Built de la Estación de Bombeo de Loma Cobá para cerrar con Acta de Aceptación Final. En trámite de pago la Cuenta No.14 (Inspección de Obra).   </t>
    </r>
  </si>
  <si>
    <t>San Martín, 6 de Abril</t>
  </si>
  <si>
    <t>34-2019</t>
  </si>
  <si>
    <t>Aporte de Gobierno</t>
  </si>
  <si>
    <t>Suministro e Instalación de un tanque de almacenamiento de 100,000 galones en la comunidad de San Isidro</t>
  </si>
  <si>
    <t>Contratista:Globetec Constructions               Contrato:    COC-BID-(FID-128)No.19       Orden de Proceder: 26 de abril de 2016       Fecha de Terminación: 2 de febrero de 2017                                                    Status:Terminación de relación contractual por conveniencia. Contratista apela a instancias superiores, posterior a fallo a favor del Idaan del Tribunal. Contrato rescindido.</t>
  </si>
  <si>
    <t>Adenda</t>
  </si>
  <si>
    <t>En trámite extensión de tiempo por cuatroscientos veintiseis (426) días, hasta el 30-may-2020</t>
  </si>
  <si>
    <r>
      <rPr>
        <b/>
        <sz val="10"/>
        <color rgb="FF000000"/>
        <rFont val="Arial Narrow"/>
        <family val="2"/>
      </rPr>
      <t>Contratista:</t>
    </r>
    <r>
      <rPr>
        <sz val="10"/>
        <color rgb="FF000000"/>
        <rFont val="Arial Narrow"/>
        <family val="2"/>
      </rPr>
      <t xml:space="preserve"> JOCA Ingenieria y Construcciones S.A                          </t>
    </r>
    <r>
      <rPr>
        <b/>
        <sz val="10"/>
        <color rgb="FF000000"/>
        <rFont val="Arial Narrow"/>
        <family val="2"/>
      </rPr>
      <t>Contrato</t>
    </r>
    <r>
      <rPr>
        <sz val="10"/>
        <color rgb="FF000000"/>
        <rFont val="Arial Narrow"/>
        <family val="2"/>
      </rPr>
      <t xml:space="preserve">:    COC-BID (FID-128) No.56-2017                                                               </t>
    </r>
    <r>
      <rPr>
        <b/>
        <sz val="10"/>
        <color rgb="FF000000"/>
        <rFont val="Arial Narrow"/>
        <family val="2"/>
      </rPr>
      <t>Orden de Proceder:</t>
    </r>
    <r>
      <rPr>
        <sz val="10"/>
        <color rgb="FF000000"/>
        <rFont val="Arial Narrow"/>
        <family val="2"/>
      </rPr>
      <t xml:space="preserve"> 30 de noviembre de 2017                                                               </t>
    </r>
    <r>
      <rPr>
        <b/>
        <sz val="10"/>
        <color rgb="FF000000"/>
        <rFont val="Arial Narrow"/>
        <family val="2"/>
      </rPr>
      <t>Fecha de Terminación</t>
    </r>
    <r>
      <rPr>
        <sz val="10"/>
        <color rgb="FF000000"/>
        <rFont val="Arial Narrow"/>
        <family val="2"/>
      </rPr>
      <t xml:space="preserve">: 31 de mayo de 2019                                                    </t>
    </r>
    <r>
      <rPr>
        <b/>
        <sz val="10"/>
        <color rgb="FF000000"/>
        <rFont val="Arial Narrow"/>
        <family val="2"/>
      </rPr>
      <t>Status</t>
    </r>
    <r>
      <rPr>
        <sz val="10"/>
        <color rgb="FF000000"/>
        <rFont val="Arial Narrow"/>
        <family val="2"/>
      </rPr>
      <t>: Proyecto en cierre administrativo. En trámite de firma de Acta Final y entrega de Planos As Built. Pendiente el pago de las Cuentas No.12 y No.13, las cuales están en revision en Asesoria Legal-IDAAN.</t>
    </r>
  </si>
  <si>
    <t>Contratista: Consorcio AS Colón                      Contrato:    COC-01-BIRF-2013                       Orden de Proceder: 20 de junio de 2013        Fecha de Terminación: 31 de marzo de 2019   Status: Se firmó Acta Sustancial con fecha el 30 de agosto de 2017-2019.Pendiente trámite de pago de de 2.4Millones, se requiere partida presupuestaria.</t>
  </si>
  <si>
    <t xml:space="preserve">Se trámita Adenda de Tiempo hasta el 31-dic-2019. El contratista solicitó extensión de tiempo hasta el 28-feb-2020 </t>
  </si>
  <si>
    <t>Contratista: APROCOSA                                 Contrato:    176-2013                                    Orden de Proceder: 3 de febrero de 2014          Fecha de Terminación: 30 de junio de 2017    Status: Los planos están en proceso de aprobación, se buscan lo recursos para el pago de cuenta.</t>
  </si>
  <si>
    <r>
      <t>C</t>
    </r>
    <r>
      <rPr>
        <sz val="10"/>
        <rFont val="Arial Narrow"/>
        <family val="2"/>
      </rPr>
      <t>ontratista: Consorcio AS Colón                      Contrato:   COC-01-BIRF2013                         Orden de Proceder: 20 de junio de 2013     Fecha de Terminación: 31 de diciembre de 2018                                                                Status: .En cierre financiero y administrativo. Cuenta con Acta de Recibido Final desde el 30 de agosto de 2017. Pendiente pago de Cuentas por la suma de B/.3.5 millones</t>
    </r>
  </si>
  <si>
    <t>En trámite de refrendo de la CGR, Adenda No. 2, de tiempo y monto,</t>
  </si>
  <si>
    <r>
      <t xml:space="preserve">Contratista: Estudios de Ingenieria                       Contrato:    36-2017                                           Orden de Proceder: 23 de noviembre de 2017  Fecha de Terminación: 31 de julio de 2018        Status: </t>
    </r>
    <r>
      <rPr>
        <sz val="10"/>
        <rFont val="Arial Narrow"/>
        <family val="2"/>
      </rPr>
      <t xml:space="preserve"> se firmó acta sustancial de proyecto.                                                  </t>
    </r>
  </si>
  <si>
    <t xml:space="preserve">Contratista: Prointec                                     Orden de Proceder: 19 de abril de 2016     Fecha de Terminación: 30 de junio de 2019.  (En trámite de cuentas finales). El trabajo de la empresa supervisora terminó el 30 de junio de 2019, se están realizando los trámites de pagos finales para el cierre formal del contrato. </t>
  </si>
  <si>
    <t xml:space="preserve">Contratista: CUSA                                             Contrato:    166-2012                                          Orden de Proceder: 20 de mayo de 2013           Fecha de Terminación: 10 de octubre de 2016   Status:    El Proyecto se encuentra suspendido en trámite de cierre. </t>
  </si>
  <si>
    <t>Se realizó Informe Técnico de Adenda No.2 de tiempo (365 días</t>
  </si>
  <si>
    <t xml:space="preserve">Contratista: Distribuidora ARVAL, S.A.         Contrato No.147-2012.                               Fecha de inicio: 3 de junio de 2013             Fecha de Terminacion: 20 de abril de 2019.                                                                              Proyecto suspendido desde el año 2014 y se reactivo en el año 2019. Se evalúa con Asesoría Legal cerrar administrativa y financieramente el contrato.  </t>
  </si>
  <si>
    <t>Contratista: Consorcio Hidrogeocol Panamá, S.A Contrato:    42-2009                                   Orden de Proceder: 3 de agosto de 2009           Fecha de Terminación: 30 de agosto de 2010   Status: En trámite de finiquito de contrato. No se tiene partida presupuestaria</t>
  </si>
  <si>
    <t>En trámite Adenda No.3 de disminución de Contrato por la suma de B/,944,081.46, pendiente refrendo de Contraloría; para proceder con el pago de retenido</t>
  </si>
  <si>
    <t>Contratista: Proyeco S.A                                  Contrato:    192-2012                                      Orden de Proceder: 20 de diciembre de 2012 Fecha de Terminación: 30 de septiembre de 2018                                                                   Status:  Está en trámite el saldo pendiente cierre de contrato.</t>
  </si>
  <si>
    <t>Contratista: Consorcio FCC- Costa del Este        Contrato:    132-2008                                          Orden de Proceder: 18 de noviembre de 2009   Fecha de Terminación: 15 de febrero de 2013  Status: Se realiza Informe para cierre administrativo del Proyecto.</t>
  </si>
  <si>
    <r>
      <rPr>
        <sz val="10"/>
        <color rgb="FF000000"/>
        <rFont val="Arial Narrow"/>
        <family val="2"/>
      </rPr>
      <t>Contratista: Consultores Profesional de Ingenieria, S.A                                                 Contrato: COC-01-BIRF-2015                          Orden de Proceder: 15 de febrero de 2016      Fecha de Terminación: 31 de enero de 2019.    Statu</t>
    </r>
    <r>
      <rPr>
        <sz val="12"/>
        <color rgb="FF000000"/>
        <rFont val="Arial Narrow"/>
        <family val="2"/>
      </rPr>
      <t xml:space="preserve">s: </t>
    </r>
    <r>
      <rPr>
        <sz val="10"/>
        <color rgb="FF000000"/>
        <rFont val="Arial Narrow"/>
        <family val="2"/>
      </rPr>
      <t>Se requiere asignación de recursos en la partida presupuestaria; que permita proceder con el pago de retenido y firma de Acta Final para el cierre del proyecto.</t>
    </r>
    <r>
      <rPr>
        <sz val="12"/>
        <color rgb="FF000000"/>
        <rFont val="Arial Narrow"/>
        <family val="2"/>
      </rPr>
      <t xml:space="preserve">                                                                                                                              </t>
    </r>
  </si>
  <si>
    <r>
      <rPr>
        <sz val="10"/>
        <color rgb="FF000000"/>
        <rFont val="Arial Narrow"/>
        <family val="2"/>
      </rPr>
      <t>Contratista: Multiproyectos de Azuero, S.A          Contrato: 117-2015                                             Orden de Proceder: 11 de enero de 2016         Fecha de Terminación: 10 de octubre de 2017   Statu</t>
    </r>
    <r>
      <rPr>
        <sz val="12"/>
        <color rgb="FF000000"/>
        <rFont val="Arial Narrow"/>
        <family val="2"/>
      </rPr>
      <t xml:space="preserve">s: </t>
    </r>
    <r>
      <rPr>
        <sz val="10"/>
        <color rgb="FF000000"/>
        <rFont val="Arial Narrow"/>
        <family val="2"/>
      </rPr>
      <t>En trámite de cuentas finales.</t>
    </r>
  </si>
  <si>
    <t>Contratista:Consorcio IECISA-AYESA            Contrato:    COC-02-BIRF-2014                      Orden de Proceder: 1 de abril de 2014          Fecha de Terminación: 24 de julio de 2017      Status:  Se requiere asignación presupuestaria para pago de finiquito.</t>
  </si>
  <si>
    <t>Contratista: PRODESARROLLO                     Contrato:    COC-02-CAF 2013                       Orden de Proceder: 12 de noviembre de 2013   Fecha de Terminación: 31 de agosto de 2018  Status: Debido a que las pruebas finales de telemetría no pasaban los estándares del IDAAN, se decidio llevar acabo un finiquito de mutuo acuerdo con el Contratista, el cual actualmente esta en trámite de refrendo en la Contraloria</t>
  </si>
  <si>
    <t>Adenda en trámite No.1  (tiempo y disminución de monto) para cierre administrativo y financiero; pendiente de subsanar documentación</t>
  </si>
  <si>
    <t xml:space="preserve">                                                             Contratista: Consorcio de Aguas de Pmá Centro                                                         Contrato: CC-03-CAF-2015                        Orden de Proceder: 20 de julio de 2015     Fecha de Terminación: 30 de septiembre de 2018.</t>
  </si>
  <si>
    <t>En trámite en la Contraloría, Adenda No.5 de costo (B/.237,818.04) y  tiempo hasta el 31-mayo-2020</t>
  </si>
  <si>
    <t>Contratista: Constructora MECO, S.A               Contrato: COC-09-CAF-2014                         Orden de Proceder: 29 de diciembre de 2014 Fecha de Terminación: 28 de febrero de 2019.  Status: En trámite de cuentas pendientes.</t>
  </si>
  <si>
    <r>
      <t>C</t>
    </r>
    <r>
      <rPr>
        <sz val="10"/>
        <color rgb="FF000000"/>
        <rFont val="Arial Narrow"/>
        <family val="2"/>
      </rPr>
      <t>ontratista: OMNICONSULT                               Contrato: 49-2011                                               Orden de Proceder: 15 de mayo de 2012        Fecha de Terminación: 11 de noviembre de 2012                                                                   Status: .Está en tramite  correspondiente al retenido.</t>
    </r>
  </si>
  <si>
    <t>Contratista: Aministradora de Proyectos              Contrato:    COC-10CAF-2014                           Orden de Proceder: 6 de noviembre de 2014    Fecha de Terminación: 28 de diciembre de 2016.                                                                   Status: Pendiente pago de Cuentas por el orden de los B/.958,000.00. Las Cuentas No.8, 9 y 11, están en Contraloría. La Cuenta (No.14) de segundo retenido está en recorrido</t>
  </si>
  <si>
    <t>Contratista:   Internacional de Seguros                Contrato:   60-2003                                            Orden de Proceder: 4 de agosto de 2003  Fecha de Terminación: 18 de julio de 2004         Status: Se requiere recursos económicos por 1,0MM y  se analiza el recurso legal para cierre de contrato.</t>
  </si>
  <si>
    <t>En trámite Adenda de tiempo y reduccion de alcance, pendiente de refrendo de la Contraloría.</t>
  </si>
  <si>
    <t xml:space="preserve">Contratista: Constructora RODSA                        Contrato: COC-001-CAF-2017                          Orden de Proceder: 9 de noviembre de 2017    Fecha de Terminación: 31 de diciembre de 2018.                                                             </t>
  </si>
  <si>
    <t>Contratista: Grupo DISA                                   Contrato:    09-2017                                         Orden de Proceder: 2 de enero de 2018    Fecha de Terminación: 15 de diciembre de 2018                                                                Status:  En pago de cuentas pendientes  y adenda de tiempo en evaluación asesoría legal de la Institución.</t>
  </si>
  <si>
    <t>Información actualizada a noviembre de 2019</t>
  </si>
  <si>
    <t xml:space="preserve">Contratista: COPISA                                       Contrato:    154-2012                                       Orden de Proceder: 10 de mayo de 2013      Fecha de Terminación: 1 de junio de 2016.     Status:  Se cuenta con acta final. en proceso de pago del 10% del retenido del contrato. </t>
  </si>
  <si>
    <t>Contratista: Consorcio Chen Associates Consulting Engineers                                        Contrato:    49-2012                                         Orden de Proceder: 31 de agosto de 2012       Fecha de Terminación: 15 de septiembre de 2014                                                                  Status: Asesoría Legal realiza las gestiones para rescindir el contrato. Cuenta con Resolución Administrativa No.149-2015, del 30-oct-2015.</t>
  </si>
  <si>
    <t>Contratista: Consorcio Chiriquí E.I.A S.A Antalsis       Contrato:    COC-03-BID-2013       Orden de Proceder: 6 de mayo de 2013          Fecha de Terminación: 29 de diciembre de 2017                                                                  Status:Se ha entregado el Informe Técnico para la cancelación del Contrato solicitado por Asesoría Legal. para cancelación del contrato.</t>
  </si>
  <si>
    <t>Contratista: Consorcio Chiriquí E.I.A S.A Antalsis       Contrato:    COC-04-BID-2013       Orden de Proceder: 3 de junio de 2013          Fecha de Terminación: 29 de febrero de 2016                                                                  Status:Se suspende el proyecto desde marzo de 2017.  El área de Legal emitió Resolucion Administrativa en Sep-2019, pendiente respuesta de Legal, para proceder a contratar los trabajos faltantes.</t>
  </si>
  <si>
    <t>Contratista: Globetec Panamá, S.A                     Contrato:    28-2010                                          Orden de Proceder: 4 de abril de 2011            Fecha de Terminación: 31 de diciembre de 2014 Status: El Contrato se Resolvió Administrativamente mediante Resolución Ejecutiva N° 39-2019 del 30 de Mayo de 2019</t>
  </si>
  <si>
    <t>Contratista: Globetec Construction           Contrato:    COC-04-BIRF-2014                  Orden de Proceder: 10 de junio  de 2014      Fecha de Terminación: 5 de febrero de 2017   Status:.Se notificó a la empresa Resolución que rescinde el contrato, se espera 28 días para proceder a reclamar a la aseguradora la ejecución de la fianza o subrogación del contrato.</t>
  </si>
  <si>
    <t>Contratista: Globetec Construction                    Contrato:    COC-01-BIRF-2013                       Orden de Proceder: 30 de septiembre de 2013 Fecha de Terminación: 1 de mayo de 2017     Status:.Se notificó a la empresa Resolución que rescinde el contrato, se espera 28 días para proceder a reclamar a la aseguradora la ejecución de la fianza o subrogación del contrato.</t>
  </si>
  <si>
    <t xml:space="preserve">Contratista: MECO                                             Contrato:    COC-02-CAF 2016                        Orden de Proceder: 8 de junio de 2016            Fecha de Terminación: 29 de diciembre de 2017                                                        Status:  Adenda de Finiquito aprobada. Se llevo acabo un finiquito por la suma de B/. 23,481.01; en subsanación solicitada por la Contraloria.                                           </t>
  </si>
  <si>
    <t>Contratista: BEROTZ, S.A                                Contrato:    148-2012                                        Orden de Proceder: 30 de octubre de 2012     Fecha de Terminación: 28 de agosto de 2014  Status:   La empresa fue embargada, el contratista no presentó cuentas, durante su ejecución. No se ha podido realizar el cierre del proyecto</t>
  </si>
  <si>
    <t>Contratista:  Acruta Tapia IngenieriosContrato: COC-05-CAF-2014                                 Orden de Proceder: 1 de abril de 2014            Fecha de Terminación: 31 de marzo de 2016  Status:   Pendiente estado de cuenta para su análisis, y posterior cierre del proyecto.</t>
  </si>
  <si>
    <t>Contratista: Contratista Generales y Electricos   Contrato:    COC-07-CAF-2014                       Orden de Proceder: 28 de marzo de 2015      Fecha de Terminación: 30 de agosto de 2014  Status:   Se gestiona el cierre del proyecto por abandono del contratista de obra</t>
  </si>
  <si>
    <t>Contratista: Delta 9 Técnicas Auxiliares de la Construcción, S.A                                              Contrato:    95-2013                                          Orden de Proceder: 7 de mayo de 2014         Fecha de Terminación: 31 de octubre  2016. Status: El informe para cierre administrativo de contrato se encuentra en el departamento de legal.</t>
  </si>
  <si>
    <t xml:space="preserve">                                                             Contratista: Representaciones Halfe, S.A No. Contrato No. 31-2017.                            Orden de Proceder: 1 de junio de 2018      Fecha de Terminación: 27 de diciembre de 2018. EL Contratista solicito formalmente la líquidación del proyecto, en asesoria legal de la Institución para evaluación.</t>
  </si>
  <si>
    <t>Inversión  (en Balboas)</t>
  </si>
  <si>
    <t>CONTRATO</t>
  </si>
  <si>
    <t>En recopilación de información</t>
  </si>
  <si>
    <t>Supervsión al Contrato de la Asesoria y Asistencia a la Gestión Operativa del IDAAN</t>
  </si>
  <si>
    <t>138-2018</t>
  </si>
  <si>
    <r>
      <rPr>
        <b/>
        <sz val="12"/>
        <color theme="1"/>
        <rFont val="Arial Narrow"/>
        <family val="2"/>
      </rPr>
      <t xml:space="preserve">                                                        Contratista:</t>
    </r>
    <r>
      <rPr>
        <sz val="12"/>
        <color theme="1"/>
        <rFont val="Arial Narrow"/>
        <family val="2"/>
      </rPr>
      <t xml:space="preserve"> Aqualia, S.A                  El contrato fue refrendado el 26 de diciembre de 2019, en proceso de orden de proceder.</t>
    </r>
  </si>
  <si>
    <r>
      <rPr>
        <b/>
        <sz val="12"/>
        <color theme="1"/>
        <rFont val="Arial Narrow"/>
        <family val="2"/>
      </rPr>
      <t>No. Acto Público:</t>
    </r>
    <r>
      <rPr>
        <sz val="12"/>
        <color theme="1"/>
        <rFont val="Arial Narrow"/>
        <family val="2"/>
      </rPr>
      <t xml:space="preserve"> 2018-2-66-0-08-LP-013834.                                       </t>
    </r>
    <r>
      <rPr>
        <b/>
        <sz val="12"/>
        <color theme="1"/>
        <rFont val="Arial Narrow"/>
        <family val="2"/>
      </rPr>
      <t>Estatus</t>
    </r>
    <r>
      <rPr>
        <sz val="12"/>
        <color theme="1"/>
        <rFont val="Arial Narrow"/>
        <family val="2"/>
      </rPr>
      <t>: En proceso de negociación técnica con la empresa (Consorcio INGETEC SEURECA) que debe iniciar la segunda semana de enero de 2020.</t>
    </r>
  </si>
  <si>
    <r>
      <rPr>
        <b/>
        <u/>
        <sz val="12"/>
        <color theme="1"/>
        <rFont val="Arial Narrow"/>
        <family val="2"/>
      </rPr>
      <t>Contratista:</t>
    </r>
    <r>
      <rPr>
        <sz val="12"/>
        <color theme="1"/>
        <rFont val="Arial Narrow"/>
        <family val="2"/>
      </rPr>
      <t xml:space="preserve"> Proyecto S.A               El contrato del Proyecto se encuentra en subsanación por las observaciones emitidas por Contraloría emitidas el 26 de diciembre de 2019 . </t>
    </r>
    <r>
      <rPr>
        <b/>
        <sz val="12"/>
        <color theme="1"/>
        <rFont val="Arial Narrow"/>
        <family val="2"/>
      </rPr>
      <t xml:space="preserve">(SCAFID 8639898)                                         - </t>
    </r>
    <r>
      <rPr>
        <sz val="12"/>
        <color theme="1"/>
        <rFont val="Arial Narrow"/>
        <family val="2"/>
      </rPr>
      <t>Supervisa los proyectos de Alcantarillado de Santiago, Almirante y PTAP de Santiago (BID)</t>
    </r>
  </si>
  <si>
    <t>Supervisión Técnica, administrativa, financiera, ambiental y seguridad industrial, social y juríidica de los proyectos de alcantarillago y agua potable en las Provincias de Veraguas y Bocas del Toro (PM)</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</si>
  <si>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</si>
  <si>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</si>
  <si>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t>Etapa</t>
  </si>
  <si>
    <t xml:space="preserve">No. Proyectos </t>
  </si>
  <si>
    <t>Monto de Inversión</t>
  </si>
  <si>
    <t>Ejecución</t>
  </si>
  <si>
    <t>En cierre administrativo y financiero</t>
  </si>
  <si>
    <t>En temas legales</t>
  </si>
  <si>
    <t>Consultoria</t>
  </si>
  <si>
    <t>Resumen de Inversiones IDAAN - Por Etapa</t>
  </si>
  <si>
    <r>
      <t xml:space="preserve">En trámite </t>
    </r>
    <r>
      <rPr>
        <sz val="10"/>
        <color theme="1"/>
        <rFont val="Arial Narrow"/>
        <family val="2"/>
      </rPr>
      <t>(En espera de orden de proceder, confección de contrato)</t>
    </r>
  </si>
  <si>
    <t>Total B/.</t>
  </si>
  <si>
    <t>Actualizado a noviembre de 2019. El saldo a pagar corresponde a una deuda en el tiempo que tiene la Institución.</t>
  </si>
  <si>
    <t>Actualizado diciembre  2019</t>
  </si>
  <si>
    <r>
      <rPr>
        <b/>
        <u/>
        <sz val="12"/>
        <color theme="1"/>
        <rFont val="Arial Narrow"/>
        <family val="2"/>
      </rPr>
      <t>Contratista</t>
    </r>
    <r>
      <rPr>
        <sz val="12"/>
        <color theme="1"/>
        <rFont val="Arial Narrow"/>
        <family val="2"/>
      </rPr>
      <t xml:space="preserve">: Consorcio RB Chiriquí Grande (Rigaservis, BTD)                                                                                                                                El contrato fue refrendado el 27 de diciembre de 2019 en proceso de orden de proceder. </t>
    </r>
    <r>
      <rPr>
        <b/>
        <sz val="12"/>
        <color theme="1"/>
        <rFont val="Arial Narrow"/>
        <family val="2"/>
      </rPr>
      <t>(SCAFID 8434830)</t>
    </r>
  </si>
  <si>
    <r>
      <rPr>
        <b/>
        <sz val="10"/>
        <rFont val="Arial Narrow"/>
        <family val="2"/>
      </rPr>
      <t xml:space="preserve">Contratista: </t>
    </r>
    <r>
      <rPr>
        <sz val="10"/>
        <rFont val="Arial Narrow"/>
        <family val="2"/>
      </rPr>
      <t xml:space="preserve">JOCA INGENIERIA Y CONSTRUCCIONES, S.A,:                      </t>
    </r>
    <r>
      <rPr>
        <b/>
        <sz val="10"/>
        <rFont val="Arial Narrow"/>
        <family val="2"/>
      </rPr>
      <t xml:space="preserve">Contrato:  </t>
    </r>
    <r>
      <rPr>
        <sz val="10"/>
        <rFont val="Arial Narrow"/>
        <family val="2"/>
      </rPr>
      <t xml:space="preserve">  111-2015                                </t>
    </r>
    <r>
      <rPr>
        <b/>
        <sz val="10"/>
        <rFont val="Arial Narrow"/>
        <family val="2"/>
      </rPr>
      <t>Orden de Proceder:</t>
    </r>
    <r>
      <rPr>
        <sz val="10"/>
        <rFont val="Arial Narrow"/>
        <family val="2"/>
      </rPr>
      <t xml:space="preserve"> 15 de Febrero de 2016                                                                  </t>
    </r>
    <r>
      <rPr>
        <b/>
        <sz val="10"/>
        <rFont val="Arial Narrow"/>
        <family val="2"/>
      </rPr>
      <t>Fecha de Terminación:</t>
    </r>
    <r>
      <rPr>
        <sz val="10"/>
        <rFont val="Arial Narrow"/>
        <family val="2"/>
      </rPr>
      <t xml:space="preserve"> 28 de enero de 2020                                                               </t>
    </r>
    <r>
      <rPr>
        <b/>
        <sz val="10"/>
        <rFont val="Arial Narrow"/>
        <family val="2"/>
      </rPr>
      <t>Avances:</t>
    </r>
    <r>
      <rPr>
        <sz val="10"/>
        <rFont val="Arial Narrow"/>
        <family val="2"/>
      </rPr>
      <t xml:space="preserve"> </t>
    </r>
    <r>
      <rPr>
        <b/>
        <sz val="10"/>
        <rFont val="Arial Narrow"/>
        <family val="2"/>
      </rPr>
      <t>Etapa Constructiva.</t>
    </r>
    <r>
      <rPr>
        <sz val="10"/>
        <rFont val="Arial Narrow"/>
        <family val="2"/>
      </rPr>
      <t xml:space="preserve">  Instalación de Tubería de PVC de 8”,10" y 12” (85.70% de avance); instalación de Tubería de 24” con avance del 55.76%; Acometida domiciliaria (avance de 81.06%); Cámara de inspección (con 87.22% de avance); y Construcción de la PTAR  (58% de avance). avance).                                       </t>
    </r>
    <r>
      <rPr>
        <b/>
        <u/>
        <sz val="10"/>
        <rFont val="Arial Narrow"/>
        <family val="2"/>
      </rPr>
      <t>Trámite de Terreno</t>
    </r>
    <r>
      <rPr>
        <sz val="10"/>
        <rFont val="Arial Narrow"/>
        <family val="2"/>
      </rPr>
      <t xml:space="preserve">: Terrenos de la EBAR1, pendiente avalúo del MEF; Terreno de la EBAR2, en trámite con el Banco Hipotecario; Terreno de la EBAR3, pendiente plano de segregación de Finca, aprobado por MIVIOT y ANATI. Terreno de la EBAR4, pendiente avalúo del MEF. </t>
    </r>
  </si>
  <si>
    <t>En evaluación del IDAAN de solicitud de extensión de tiempo hasta diciembre de 2020.</t>
  </si>
  <si>
    <t>Adenda No.4 de tiempo a 323 días. (En evaluación del IDAAN)</t>
  </si>
  <si>
    <t>En evaluación por IDAAN de  informe técnico para adenda No.1 por 210 días. (9 de septiembre de 2020)</t>
  </si>
  <si>
    <r>
      <rPr>
        <b/>
        <sz val="10"/>
        <color rgb="FF000000"/>
        <rFont val="Arial Narrow"/>
        <family val="2"/>
      </rPr>
      <t>Contratista</t>
    </r>
    <r>
      <rPr>
        <sz val="10"/>
        <color rgb="FF000000"/>
        <rFont val="Arial Narrow"/>
        <family val="2"/>
      </rPr>
      <t xml:space="preserve">: Acciona Sabanitas II,                                      </t>
    </r>
    <r>
      <rPr>
        <b/>
        <sz val="10"/>
        <color rgb="FF000000"/>
        <rFont val="Arial Narrow"/>
        <family val="2"/>
      </rPr>
      <t xml:space="preserve">Contrato </t>
    </r>
    <r>
      <rPr>
        <sz val="10"/>
        <color rgb="FF000000"/>
        <rFont val="Arial Narrow"/>
        <family val="2"/>
      </rPr>
      <t xml:space="preserve">08-2017.                                      </t>
    </r>
    <r>
      <rPr>
        <b/>
        <sz val="10"/>
        <color rgb="FF000000"/>
        <rFont val="Arial Narrow"/>
        <family val="2"/>
      </rPr>
      <t>Orden de Proceder :</t>
    </r>
    <r>
      <rPr>
        <sz val="10"/>
        <color rgb="FF000000"/>
        <rFont val="Arial Narrow"/>
        <family val="2"/>
      </rPr>
      <t xml:space="preserve">25 de Abril de 2017.  </t>
    </r>
    <r>
      <rPr>
        <b/>
        <sz val="10"/>
        <color rgb="FF000000"/>
        <rFont val="Arial Narrow"/>
        <family val="2"/>
      </rPr>
      <t xml:space="preserve">Fecha de Terminación: </t>
    </r>
    <r>
      <rPr>
        <sz val="10"/>
        <color rgb="FF000000"/>
        <rFont val="Arial Narrow"/>
        <family val="2"/>
      </rPr>
      <t xml:space="preserve">4 de abril de 2020 </t>
    </r>
    <r>
      <rPr>
        <b/>
        <sz val="10"/>
        <color rgb="FF000000"/>
        <rFont val="Arial Narrow"/>
        <family val="2"/>
      </rPr>
      <t>Avance:</t>
    </r>
    <r>
      <rPr>
        <sz val="10"/>
        <color rgb="FF000000"/>
        <rFont val="Arial Narrow"/>
        <family val="2"/>
      </rPr>
      <t xml:space="preserve"> (Etapa de Construcción).Etapa Constructiva                                        Toma de agua cruda (avance 30.98%)
Línea de aducción de 48"Φ en H.D  (La Toma de agua cruda a la PTAP) (avance 57.37%)
•Construcción de planta potabilizadora (avance 20.01%)
•Tanque de almacenamiento de Villa Catalina (avance 33.87%)                                                                     Se ha tenido dificultad con obtener los tres (3) terrenos necesarios para avanzar con el diseño y construcción del proyecto  (Santa Rita, terrenos de la UABR y terreno para la estación de rebombeo).                       </t>
    </r>
  </si>
  <si>
    <r>
      <rPr>
        <b/>
        <sz val="10"/>
        <color rgb="FF000000"/>
        <rFont val="Arial Narrow"/>
        <family val="2"/>
      </rPr>
      <t>Contratista</t>
    </r>
    <r>
      <rPr>
        <sz val="10"/>
        <color rgb="FF000000"/>
        <rFont val="Arial Narrow"/>
        <family val="2"/>
      </rPr>
      <t xml:space="preserve">: Vigueconz Estevez                    </t>
    </r>
    <r>
      <rPr>
        <b/>
        <sz val="10"/>
        <color rgb="FF000000"/>
        <rFont val="Arial Narrow"/>
        <family val="2"/>
      </rPr>
      <t>Contrato N</t>
    </r>
    <r>
      <rPr>
        <sz val="10"/>
        <color rgb="FF000000"/>
        <rFont val="Arial Narrow"/>
        <family val="2"/>
      </rPr>
      <t xml:space="preserve">o.: COC- BID (FID 128) No.2    </t>
    </r>
    <r>
      <rPr>
        <b/>
        <sz val="10"/>
        <color rgb="FF000000"/>
        <rFont val="Arial Narrow"/>
        <family val="2"/>
      </rPr>
      <t>Orden de Procede</t>
    </r>
    <r>
      <rPr>
        <sz val="10"/>
        <color rgb="FF000000"/>
        <rFont val="Arial Narrow"/>
        <family val="2"/>
      </rPr>
      <t xml:space="preserve">r 14 de Diciembre 2015.   </t>
    </r>
    <r>
      <rPr>
        <b/>
        <sz val="10"/>
        <color rgb="FF000000"/>
        <rFont val="Arial Narrow"/>
        <family val="2"/>
      </rPr>
      <t>Fecha de Terminación</t>
    </r>
    <r>
      <rPr>
        <sz val="10"/>
        <color rgb="FF000000"/>
        <rFont val="Arial Narrow"/>
        <family val="2"/>
      </rPr>
      <t xml:space="preserve">: 31 de mayo de 2020. .                                                              </t>
    </r>
    <r>
      <rPr>
        <b/>
        <sz val="10"/>
        <color rgb="FF000000"/>
        <rFont val="Arial Narrow"/>
        <family val="2"/>
      </rPr>
      <t>Avance:</t>
    </r>
    <r>
      <rPr>
        <sz val="10"/>
        <color rgb="FF000000"/>
        <rFont val="Arial Narrow"/>
        <family val="2"/>
      </rPr>
      <t xml:space="preserve"> El contratista debe iniciar trabajos de construcción de la toma de Divalá en enero 2020. En trámite en la Contraloría las Cuentas No.17, 18 y 19.    </t>
    </r>
  </si>
  <si>
    <t>En espera de refrendo de la Contraloría de adenda No.3 de tiempo por 335 días y de costo por  B/.759,323.22</t>
  </si>
  <si>
    <r>
      <rPr>
        <b/>
        <sz val="10"/>
        <color rgb="FF000000"/>
        <rFont val="Arial Narrow"/>
        <family val="2"/>
      </rPr>
      <t>Contratista:</t>
    </r>
    <r>
      <rPr>
        <sz val="10"/>
        <color rgb="FF000000"/>
        <rFont val="Arial Narrow"/>
        <family val="2"/>
      </rPr>
      <t xml:space="preserve"> Vigencias Estevez                     </t>
    </r>
    <r>
      <rPr>
        <b/>
        <sz val="10"/>
        <color rgb="FF000000"/>
        <rFont val="Arial Narrow"/>
        <family val="2"/>
      </rPr>
      <t>Contrato No</t>
    </r>
    <r>
      <rPr>
        <sz val="10"/>
        <color rgb="FF000000"/>
        <rFont val="Arial Narrow"/>
        <family val="2"/>
      </rPr>
      <t xml:space="preserve">. COC-BID (FID-128 No.14)   </t>
    </r>
    <r>
      <rPr>
        <b/>
        <sz val="10"/>
        <color rgb="FF000000"/>
        <rFont val="Arial Narrow"/>
        <family val="2"/>
      </rPr>
      <t>Orden de Proceder</t>
    </r>
    <r>
      <rPr>
        <sz val="10"/>
        <color rgb="FF000000"/>
        <rFont val="Arial Narrow"/>
        <family val="2"/>
      </rPr>
      <t xml:space="preserve"> el 4 de Abril de 2016.  </t>
    </r>
    <r>
      <rPr>
        <b/>
        <sz val="10"/>
        <color rgb="FF000000"/>
        <rFont val="Arial Narrow"/>
        <family val="2"/>
      </rPr>
      <t>Fecha de Terminación:</t>
    </r>
    <r>
      <rPr>
        <sz val="10"/>
        <color rgb="FF000000"/>
        <rFont val="Arial Narrow"/>
        <family val="2"/>
      </rPr>
      <t xml:space="preserve"> 27 de mayo de 2020</t>
    </r>
  </si>
  <si>
    <t xml:space="preserve">En trámite Adenda No.3 de disminución por la suma de (-B/.500,211.21) y de tiempo por 339 días (27 de mayo de 2020); pendiente de refrendo de la Contraloría </t>
  </si>
  <si>
    <t xml:space="preserve">En trámite Adenda No.1 de Tiempo por 248 días (26 de julio de 2020) y costo (B/.319,696.65), en proceso de refrendo en la Contraloría. </t>
  </si>
  <si>
    <r>
      <rPr>
        <b/>
        <sz val="10"/>
        <color rgb="FF000000"/>
        <rFont val="Arial Narrow"/>
        <family val="2"/>
      </rPr>
      <t>Contrato:</t>
    </r>
    <r>
      <rPr>
        <sz val="10"/>
        <color rgb="FF000000"/>
        <rFont val="Arial Narrow"/>
        <family val="2"/>
      </rPr>
      <t xml:space="preserve"> COC-BID-2018 (fid-128)no.69     </t>
    </r>
    <r>
      <rPr>
        <b/>
        <sz val="10"/>
        <color rgb="FF000000"/>
        <rFont val="Arial Narrow"/>
        <family val="2"/>
      </rPr>
      <t>Contratista:</t>
    </r>
    <r>
      <rPr>
        <sz val="10"/>
        <color rgb="FF000000"/>
        <rFont val="Arial Narrow"/>
        <family val="2"/>
      </rPr>
      <t xml:space="preserve"> Viguecons Estevez, S.L.           </t>
    </r>
    <r>
      <rPr>
        <b/>
        <sz val="10"/>
        <color rgb="FF000000"/>
        <rFont val="Arial Narrow"/>
        <family val="2"/>
      </rPr>
      <t>Orden de procede</t>
    </r>
    <r>
      <rPr>
        <sz val="10"/>
        <color rgb="FF000000"/>
        <rFont val="Arial Narrow"/>
        <family val="2"/>
      </rPr>
      <t xml:space="preserve">r: 16 de enero de 2019.                                                       </t>
    </r>
    <r>
      <rPr>
        <b/>
        <sz val="10"/>
        <color rgb="FF000000"/>
        <rFont val="Arial Narrow"/>
        <family val="2"/>
      </rPr>
      <t>Fecha de Terminación</t>
    </r>
    <r>
      <rPr>
        <sz val="10"/>
        <color rgb="FF000000"/>
        <rFont val="Arial Narrow"/>
        <family val="2"/>
      </rPr>
      <t>: 13 de septiembre de 2019.                                                                  Se le ha solicitado al Contratista extensión de las fianzas para la culminación de los trabajos faltantes</t>
    </r>
  </si>
  <si>
    <t>En trámite Adenda No.1 de tiempo (230 días) (31 de agosto de 2020), pendiente de refrendo de la Contraloría.</t>
  </si>
  <si>
    <r>
      <rPr>
        <b/>
        <sz val="10"/>
        <color rgb="FF000000"/>
        <rFont val="Arial Narrow"/>
        <family val="2"/>
      </rPr>
      <t>Contratista</t>
    </r>
    <r>
      <rPr>
        <sz val="10"/>
        <color rgb="FF000000"/>
        <rFont val="Arial Narrow"/>
        <family val="2"/>
      </rPr>
      <t xml:space="preserve">: Consorcio AQUA 3.                   </t>
    </r>
    <r>
      <rPr>
        <b/>
        <sz val="10"/>
        <color rgb="FF000000"/>
        <rFont val="Arial Narrow"/>
        <family val="2"/>
      </rPr>
      <t>Orden de Proceder:</t>
    </r>
    <r>
      <rPr>
        <sz val="10"/>
        <color rgb="FF000000"/>
        <rFont val="Arial Narrow"/>
        <family val="2"/>
      </rPr>
      <t xml:space="preserve"> 25 de enero de 2018  </t>
    </r>
    <r>
      <rPr>
        <b/>
        <sz val="10"/>
        <color rgb="FF000000"/>
        <rFont val="Arial Narrow"/>
        <family val="2"/>
      </rPr>
      <t>Contrato</t>
    </r>
    <r>
      <rPr>
        <sz val="10"/>
        <color rgb="FF000000"/>
        <rFont val="Arial Narrow"/>
        <family val="2"/>
      </rPr>
      <t xml:space="preserve">: 25-2018                                        </t>
    </r>
    <r>
      <rPr>
        <b/>
        <sz val="10"/>
        <color rgb="FF000000"/>
        <rFont val="Arial Narrow"/>
        <family val="2"/>
      </rPr>
      <t xml:space="preserve">Fecha de Terminación: </t>
    </r>
    <r>
      <rPr>
        <sz val="10"/>
        <color rgb="FF000000"/>
        <rFont val="Arial Narrow"/>
        <family val="2"/>
      </rPr>
      <t>25 de junio  de 2021 Supervisa los proyectos de Alcantarillado de Changuinola y Alcantarillado de David.</t>
    </r>
  </si>
  <si>
    <r>
      <rPr>
        <b/>
        <sz val="10"/>
        <color rgb="FF000000"/>
        <rFont val="Arial Narrow"/>
        <family val="2"/>
      </rPr>
      <t>Contratista:</t>
    </r>
    <r>
      <rPr>
        <sz val="10"/>
        <color rgb="FF000000"/>
        <rFont val="Arial Narrow"/>
        <family val="2"/>
      </rPr>
      <t xml:space="preserve"> Constructora Urbana .A           </t>
    </r>
    <r>
      <rPr>
        <b/>
        <sz val="10"/>
        <color rgb="FF000000"/>
        <rFont val="Arial Narrow"/>
        <family val="2"/>
      </rPr>
      <t>Contrato:</t>
    </r>
    <r>
      <rPr>
        <sz val="10"/>
        <color rgb="FF000000"/>
        <rFont val="Arial Narrow"/>
        <family val="2"/>
      </rPr>
      <t xml:space="preserve"> 73-2013                                  </t>
    </r>
    <r>
      <rPr>
        <b/>
        <sz val="10"/>
        <color rgb="FF000000"/>
        <rFont val="Arial Narrow"/>
        <family val="2"/>
      </rPr>
      <t>Orden de Proceder:</t>
    </r>
    <r>
      <rPr>
        <sz val="10"/>
        <color rgb="FF000000"/>
        <rFont val="Arial Narrow"/>
        <family val="2"/>
      </rPr>
      <t xml:space="preserve"> 28 de  octubre de 2013 </t>
    </r>
    <r>
      <rPr>
        <b/>
        <sz val="10"/>
        <color rgb="FF000000"/>
        <rFont val="Arial Narrow"/>
        <family val="2"/>
      </rPr>
      <t>Fecha de Terminación:</t>
    </r>
    <r>
      <rPr>
        <sz val="10"/>
        <color rgb="FF000000"/>
        <rFont val="Arial Narrow"/>
        <family val="2"/>
      </rPr>
      <t xml:space="preserve">  30 de abril de 2018 (Construcción).                                          Actualmente el proyecto se encuentra en operación y mantenimiento por 2 años que finaliza hasta el 19 de febrero de 2020.</t>
    </r>
  </si>
  <si>
    <r>
      <rPr>
        <b/>
        <sz val="10"/>
        <color rgb="FF000000"/>
        <rFont val="Arial Narrow"/>
        <family val="2"/>
      </rPr>
      <t>Contratista</t>
    </r>
    <r>
      <rPr>
        <sz val="10"/>
        <color rgb="FF000000"/>
        <rFont val="Arial Narrow"/>
        <family val="2"/>
      </rPr>
      <t xml:space="preserve">:Consorcio Agua de David          </t>
    </r>
    <r>
      <rPr>
        <b/>
        <sz val="10"/>
        <color rgb="FF000000"/>
        <rFont val="Arial Narrow"/>
        <family val="2"/>
      </rPr>
      <t>Contrato</t>
    </r>
    <r>
      <rPr>
        <sz val="10"/>
        <color rgb="FF000000"/>
        <rFont val="Arial Narrow"/>
        <family val="2"/>
      </rPr>
      <t xml:space="preserve"> 113-2016 y 114-2016                  </t>
    </r>
    <r>
      <rPr>
        <b/>
        <sz val="10"/>
        <color rgb="FF000000"/>
        <rFont val="Arial Narrow"/>
        <family val="2"/>
      </rPr>
      <t>Orden de Proceder:</t>
    </r>
    <r>
      <rPr>
        <sz val="10"/>
        <color rgb="FF000000"/>
        <rFont val="Arial Narrow"/>
        <family val="2"/>
      </rPr>
      <t xml:space="preserve"> 17 de Abril de 2017.                                                      </t>
    </r>
    <r>
      <rPr>
        <b/>
        <sz val="10"/>
        <color rgb="FF000000"/>
        <rFont val="Arial Narrow"/>
        <family val="2"/>
      </rPr>
      <t>Fecha de Terminación:</t>
    </r>
    <r>
      <rPr>
        <sz val="10"/>
        <color rgb="FF000000"/>
        <rFont val="Arial Narrow"/>
        <family val="2"/>
      </rPr>
      <t xml:space="preserve"> 26 de abril de 2020. (Etapa de Construcción).                                     </t>
    </r>
    <r>
      <rPr>
        <b/>
        <sz val="10"/>
        <color rgb="FF000000"/>
        <rFont val="Arial Narrow"/>
        <family val="2"/>
      </rPr>
      <t>Avance:</t>
    </r>
    <r>
      <rPr>
        <sz val="10"/>
        <color rgb="FF000000"/>
        <rFont val="Arial Narrow"/>
        <family val="2"/>
      </rPr>
      <t xml:space="preserve"> Red de alcantarillado sanitario (10.5%); PTAR (5.3%). Se realizan trabajos de: mejoramiento de suelos (se culminó la ejecución de columnas de grava y se están realizando las pruebas de carga al suelo), instalación de tubería de agua potable hacia la PTAR y excavación para tubería de 42" de entrada a la PTAR. </t>
    </r>
  </si>
  <si>
    <t>Se evalúa por parte de IDAAN extensión de tiempo hasta el 28 de abril de 2021.</t>
  </si>
  <si>
    <t>En revisión por Asesoría Legal del IDAAN adenda No. 4 de monto y de tiempo por 243 días.</t>
  </si>
  <si>
    <r>
      <rPr>
        <b/>
        <sz val="10"/>
        <rFont val="Arial Narrow"/>
        <family val="2"/>
      </rPr>
      <t>Contratista</t>
    </r>
    <r>
      <rPr>
        <sz val="10"/>
        <rFont val="Arial Narrow"/>
        <family val="2"/>
      </rPr>
      <t xml:space="preserve">: CONSORTIUM PROCHEM 
</t>
    </r>
    <r>
      <rPr>
        <b/>
        <sz val="10"/>
        <rFont val="Arial Narrow"/>
        <family val="2"/>
      </rPr>
      <t>Contrato No</t>
    </r>
    <r>
      <rPr>
        <sz val="10"/>
        <rFont val="Arial Narrow"/>
        <family val="2"/>
      </rPr>
      <t xml:space="preserve">: 03-2016 
</t>
    </r>
    <r>
      <rPr>
        <b/>
        <sz val="10"/>
        <rFont val="Arial Narrow"/>
        <family val="2"/>
      </rPr>
      <t>Monto:</t>
    </r>
    <r>
      <rPr>
        <sz val="10"/>
        <rFont val="Arial Narrow"/>
        <family val="2"/>
      </rPr>
      <t xml:space="preserve"> B/.3,780,910
</t>
    </r>
    <r>
      <rPr>
        <b/>
        <sz val="10"/>
        <rFont val="Arial Narrow"/>
        <family val="2"/>
      </rPr>
      <t>Orden de proceder:</t>
    </r>
    <r>
      <rPr>
        <sz val="10"/>
        <rFont val="Arial Narrow"/>
        <family val="2"/>
      </rPr>
      <t xml:space="preserve"> 3 de Abril de 2017.       </t>
    </r>
    <r>
      <rPr>
        <b/>
        <sz val="10"/>
        <rFont val="Arial Narrow"/>
        <family val="2"/>
      </rPr>
      <t>Fecha de Terminación:</t>
    </r>
    <r>
      <rPr>
        <sz val="10"/>
        <rFont val="Arial Narrow"/>
        <family val="2"/>
      </rPr>
      <t xml:space="preserve"> 30 de septiembre de 2019.                                                       </t>
    </r>
    <r>
      <rPr>
        <b/>
        <u/>
        <sz val="10"/>
        <rFont val="Arial Narrow"/>
        <family val="2"/>
      </rPr>
      <t>Avances</t>
    </r>
    <r>
      <rPr>
        <sz val="10"/>
        <rFont val="Arial Narrow"/>
        <family val="2"/>
      </rPr>
      <t>: realización de pruebas (90%); instalación de medidores (5%); trabajos en el Dique, suspendidos hasta verano, por las fuertes corrientes del Río Pirre (20%). Se ha determinado que los trabajos se realicen en la estación seca, entre el 1-enero-2020 al 30-abril-2020</t>
    </r>
  </si>
  <si>
    <t>En evaluación del IDAAN de trámite de adenda hasta el 1 de julio de 2020.</t>
  </si>
  <si>
    <r>
      <rPr>
        <b/>
        <sz val="10"/>
        <color rgb="FF000000"/>
        <rFont val="Arial Narrow"/>
        <family val="2"/>
      </rPr>
      <t>Contratista:</t>
    </r>
    <r>
      <rPr>
        <sz val="10"/>
        <color rgb="FF000000"/>
        <rFont val="Arial Narrow"/>
        <family val="2"/>
      </rPr>
      <t xml:space="preserve"> Consorcio PTAP Darién 2016                                                                  </t>
    </r>
    <r>
      <rPr>
        <b/>
        <sz val="10"/>
        <color rgb="FF000000"/>
        <rFont val="Arial Narrow"/>
        <family val="2"/>
      </rPr>
      <t>Contrato</t>
    </r>
    <r>
      <rPr>
        <sz val="10"/>
        <color rgb="FF000000"/>
        <rFont val="Arial Narrow"/>
        <family val="2"/>
      </rPr>
      <t xml:space="preserve"> No. 117-2016.                               </t>
    </r>
    <r>
      <rPr>
        <b/>
        <sz val="10"/>
        <color rgb="FF000000"/>
        <rFont val="Arial Narrow"/>
        <family val="2"/>
      </rPr>
      <t>Orden de Proceder:</t>
    </r>
    <r>
      <rPr>
        <sz val="10"/>
        <color rgb="FF000000"/>
        <rFont val="Arial Narrow"/>
        <family val="2"/>
      </rPr>
      <t xml:space="preserve"> 12 de Diciembre 2016.                                                           </t>
    </r>
    <r>
      <rPr>
        <b/>
        <sz val="10"/>
        <color rgb="FF000000"/>
        <rFont val="Arial Narrow"/>
        <family val="2"/>
      </rPr>
      <t>Fecha de Terminación:</t>
    </r>
    <r>
      <rPr>
        <sz val="10"/>
        <color rgb="FF000000"/>
        <rFont val="Arial Narrow"/>
        <family val="2"/>
      </rPr>
      <t xml:space="preserve"> 1 de julio de 2020 </t>
    </r>
    <r>
      <rPr>
        <b/>
        <u/>
        <sz val="10"/>
        <color rgb="FF000000"/>
        <rFont val="Arial Narrow"/>
        <family val="2"/>
      </rPr>
      <t>Avances:</t>
    </r>
    <r>
      <rPr>
        <sz val="10"/>
        <color rgb="FF000000"/>
        <rFont val="Arial Narrow"/>
        <family val="2"/>
      </rPr>
      <t xml:space="preserve"> Pendiente confeccionar Informe Técnico para legalización de terrenos. Pendiente por parte de IDAAN entrega de protocolo de compra y venta de terrenos de La Lomita y Piedra Candela.</t>
    </r>
  </si>
  <si>
    <t>En revisión por IDAAN de informe técnico para Adenda de tiempo No. 3 (25 de agosto de 2020)</t>
  </si>
  <si>
    <t>En trámite Adenda No.3 de extensión de tiempo por 365 días adicionales (15 de junio de 2020), pendiente refrendo de la Contraloría</t>
  </si>
  <si>
    <r>
      <rPr>
        <b/>
        <sz val="10"/>
        <color rgb="FF000000"/>
        <rFont val="Arial Narrow"/>
        <family val="2"/>
      </rPr>
      <t>Contratista;</t>
    </r>
    <r>
      <rPr>
        <sz val="10"/>
        <color rgb="FF000000"/>
        <rFont val="Arial Narrow"/>
        <family val="2"/>
      </rPr>
      <t xml:space="preserve"> .    Viguecons Estevez, S.L.       </t>
    </r>
    <r>
      <rPr>
        <b/>
        <sz val="10"/>
        <color rgb="FF000000"/>
        <rFont val="Arial Narrow"/>
        <family val="2"/>
      </rPr>
      <t>Contrato No.</t>
    </r>
    <r>
      <rPr>
        <sz val="10"/>
        <color rgb="FF000000"/>
        <rFont val="Arial Narrow"/>
        <family val="2"/>
      </rPr>
      <t xml:space="preserve"> COC-05 CAF 2014                </t>
    </r>
    <r>
      <rPr>
        <b/>
        <sz val="10"/>
        <color rgb="FF000000"/>
        <rFont val="Arial Narrow"/>
        <family val="2"/>
      </rPr>
      <t>Orden de Proceder</t>
    </r>
    <r>
      <rPr>
        <sz val="10"/>
        <color rgb="FF000000"/>
        <rFont val="Arial Narrow"/>
        <family val="2"/>
      </rPr>
      <t xml:space="preserve">: 8 de julio de 2014       </t>
    </r>
    <r>
      <rPr>
        <b/>
        <sz val="10"/>
        <color rgb="FF000000"/>
        <rFont val="Arial Narrow"/>
        <family val="2"/>
      </rPr>
      <t>Fecha de Terminación</t>
    </r>
    <r>
      <rPr>
        <sz val="10"/>
        <color rgb="FF000000"/>
        <rFont val="Arial Narrow"/>
        <family val="2"/>
      </rPr>
      <t xml:space="preserve">: 15 de junio de 2020                                                     </t>
    </r>
    <r>
      <rPr>
        <b/>
        <u/>
        <sz val="10"/>
        <color rgb="FF000000"/>
        <rFont val="Arial Narrow"/>
        <family val="2"/>
      </rPr>
      <t>Avances</t>
    </r>
    <r>
      <rPr>
        <sz val="10"/>
        <color rgb="FF000000"/>
        <rFont val="Arial Narrow"/>
        <family val="2"/>
      </rPr>
      <t>:Estación de bombeo se encuentra en un 51%.</t>
    </r>
  </si>
  <si>
    <t>En trámite en Contraloría, Adenda No.6 de Tiempo por 240 días (8 de mayo de 2020), en espera de refrendo por parte de la Contraloría.</t>
  </si>
  <si>
    <r>
      <rPr>
        <b/>
        <sz val="10"/>
        <color rgb="FF000000"/>
        <rFont val="Arial Narrow"/>
        <family val="2"/>
      </rPr>
      <t>Contratista; MECO. S.A                               Contrato No.</t>
    </r>
    <r>
      <rPr>
        <sz val="10"/>
        <color rgb="FF000000"/>
        <rFont val="Arial Narrow"/>
        <family val="2"/>
      </rPr>
      <t xml:space="preserve"> COC-06-CAF-2014                </t>
    </r>
    <r>
      <rPr>
        <b/>
        <sz val="10"/>
        <color rgb="FF000000"/>
        <rFont val="Arial Narrow"/>
        <family val="2"/>
      </rPr>
      <t xml:space="preserve">Orden de Proceder: </t>
    </r>
    <r>
      <rPr>
        <sz val="10"/>
        <color rgb="FF000000"/>
        <rFont val="Arial Narrow"/>
        <family val="2"/>
      </rPr>
      <t xml:space="preserve">24 de julio de 2014     </t>
    </r>
    <r>
      <rPr>
        <b/>
        <sz val="10"/>
        <color rgb="FF000000"/>
        <rFont val="Arial Narrow"/>
        <family val="2"/>
      </rPr>
      <t>Fecha de Terminación:</t>
    </r>
    <r>
      <rPr>
        <sz val="10"/>
        <color rgb="FF000000"/>
        <rFont val="Arial Narrow"/>
        <family val="2"/>
      </rPr>
      <t xml:space="preserve"> 8 de mayo de 2020.                                                                </t>
    </r>
    <r>
      <rPr>
        <b/>
        <u/>
        <sz val="10"/>
        <color rgb="FF000000"/>
        <rFont val="Arial Narrow"/>
        <family val="2"/>
      </rPr>
      <t xml:space="preserve">Avances: </t>
    </r>
    <r>
      <rPr>
        <sz val="10"/>
        <color rgb="FF000000"/>
        <rFont val="Arial Narrow"/>
        <family val="2"/>
      </rPr>
      <t xml:space="preserve"> Pendiente sistema de acueducto, entrega de válvulas para las interconexiones.</t>
    </r>
  </si>
  <si>
    <t>En trámite Adenda No.3 de extensión de tiempo  por 365 días adicionales (31 de mayo de 2020), pendiente refrendo de la Contraloría.</t>
  </si>
  <si>
    <r>
      <rPr>
        <b/>
        <sz val="10"/>
        <color rgb="FF000000"/>
        <rFont val="Arial Narrow"/>
        <family val="2"/>
      </rPr>
      <t>Contratista:</t>
    </r>
    <r>
      <rPr>
        <sz val="10"/>
        <color rgb="FF000000"/>
        <rFont val="Arial Narrow"/>
        <family val="2"/>
      </rPr>
      <t xml:space="preserve"> MECO S.A.,                              </t>
    </r>
    <r>
      <rPr>
        <b/>
        <sz val="10"/>
        <color rgb="FF000000"/>
        <rFont val="Arial Narrow"/>
        <family val="2"/>
      </rPr>
      <t>Contrato:</t>
    </r>
    <r>
      <rPr>
        <sz val="10"/>
        <color rgb="FF000000"/>
        <rFont val="Arial Narrow"/>
        <family val="2"/>
      </rPr>
      <t xml:space="preserve">COC-08-CAF-2014                      </t>
    </r>
    <r>
      <rPr>
        <b/>
        <sz val="10"/>
        <color rgb="FF000000"/>
        <rFont val="Arial Narrow"/>
        <family val="2"/>
      </rPr>
      <t>Orden de Procede</t>
    </r>
    <r>
      <rPr>
        <sz val="10"/>
        <color rgb="FF000000"/>
        <rFont val="Arial Narrow"/>
        <family val="2"/>
      </rPr>
      <t xml:space="preserve">r: 29 de junio de 2015    </t>
    </r>
    <r>
      <rPr>
        <b/>
        <sz val="10"/>
        <color rgb="FF000000"/>
        <rFont val="Arial Narrow"/>
        <family val="2"/>
      </rPr>
      <t>Fecha de Terminación:</t>
    </r>
    <r>
      <rPr>
        <sz val="10"/>
        <color rgb="FF000000"/>
        <rFont val="Arial Narrow"/>
        <family val="2"/>
      </rPr>
      <t xml:space="preserve"> 31 de mayo de 2020                                               </t>
    </r>
    <r>
      <rPr>
        <b/>
        <u/>
        <sz val="10"/>
        <color rgb="FF000000"/>
        <rFont val="Arial Narrow"/>
        <family val="2"/>
      </rPr>
      <t>Avances:</t>
    </r>
    <r>
      <rPr>
        <sz val="10"/>
        <color rgb="FF000000"/>
        <rFont val="Arial Narrow"/>
        <family val="2"/>
      </rPr>
      <t xml:space="preserve"> instalación de tuberías Cruce de Vía Israel e Instalación en la Interconexión No.6, entre otras actividades contempladas en Contrato</t>
    </r>
  </si>
  <si>
    <r>
      <rPr>
        <b/>
        <sz val="10"/>
        <color rgb="FF000000"/>
        <rFont val="Arial Narrow"/>
        <family val="2"/>
      </rPr>
      <t>Contrato:</t>
    </r>
    <r>
      <rPr>
        <sz val="10"/>
        <color rgb="FF000000"/>
        <rFont val="Arial Narrow"/>
        <family val="2"/>
      </rPr>
      <t xml:space="preserve"> No.134-2013
</t>
    </r>
    <r>
      <rPr>
        <b/>
        <sz val="10"/>
        <color rgb="FF000000"/>
        <rFont val="Arial Narrow"/>
        <family val="2"/>
      </rPr>
      <t>Contratista:</t>
    </r>
    <r>
      <rPr>
        <sz val="10"/>
        <color rgb="FF000000"/>
        <rFont val="Arial Narrow"/>
        <family val="2"/>
      </rPr>
      <t xml:space="preserve"> C.U.S.A.                                    </t>
    </r>
    <r>
      <rPr>
        <b/>
        <sz val="10"/>
        <color rgb="FF000000"/>
        <rFont val="Arial Narrow"/>
        <family val="2"/>
      </rPr>
      <t>Orden de proceder</t>
    </r>
    <r>
      <rPr>
        <sz val="10"/>
        <color rgb="FF000000"/>
        <rFont val="Arial Narrow"/>
        <family val="2"/>
      </rPr>
      <t xml:space="preserve">:13 de Enero de 2014   </t>
    </r>
    <r>
      <rPr>
        <b/>
        <sz val="10"/>
        <color rgb="FF000000"/>
        <rFont val="Arial Narrow"/>
        <family val="2"/>
      </rPr>
      <t>Fecha de Terminación</t>
    </r>
    <r>
      <rPr>
        <sz val="10"/>
        <color rgb="FF000000"/>
        <rFont val="Arial Narrow"/>
        <family val="2"/>
      </rPr>
      <t xml:space="preserve">: 30 de octubre de 2019.                                                            </t>
    </r>
    <r>
      <rPr>
        <b/>
        <u/>
        <sz val="10"/>
        <color rgb="FF000000"/>
        <rFont val="Arial Narrow"/>
        <family val="2"/>
      </rPr>
      <t>Avances</t>
    </r>
    <r>
      <rPr>
        <sz val="10"/>
        <color rgb="FF000000"/>
        <rFont val="Arial Narrow"/>
        <family val="2"/>
      </rPr>
      <t>:   Tramitar con la empresa eléctrica el suministro de energia de la Eestación de bombeo de Lucha Franco.</t>
    </r>
  </si>
  <si>
    <r>
      <rPr>
        <b/>
        <sz val="10"/>
        <color rgb="FF000000"/>
        <rFont val="Arial Narrow"/>
        <family val="2"/>
      </rPr>
      <t>Contratista</t>
    </r>
    <r>
      <rPr>
        <sz val="10"/>
        <color rgb="FF000000"/>
        <rFont val="Arial Narrow"/>
        <family val="2"/>
      </rPr>
      <t xml:space="preserve">: Consorcio Agua de Gamboa,    </t>
    </r>
    <r>
      <rPr>
        <b/>
        <sz val="10"/>
        <color rgb="FF000000"/>
        <rFont val="Arial Narrow"/>
        <family val="2"/>
      </rPr>
      <t>Contrato No</t>
    </r>
    <r>
      <rPr>
        <sz val="10"/>
        <color rgb="FF000000"/>
        <rFont val="Arial Narrow"/>
        <family val="2"/>
      </rPr>
      <t xml:space="preserve">.04-2017,                                                          </t>
    </r>
    <r>
      <rPr>
        <b/>
        <sz val="10"/>
        <color rgb="FF000000"/>
        <rFont val="Arial Narrow"/>
        <family val="2"/>
      </rPr>
      <t>Orden de Proceder</t>
    </r>
    <r>
      <rPr>
        <sz val="10"/>
        <color rgb="FF000000"/>
        <rFont val="Arial Narrow"/>
        <family val="2"/>
      </rPr>
      <t xml:space="preserve"> el 28 de Abril de 2017. </t>
    </r>
    <r>
      <rPr>
        <b/>
        <sz val="10"/>
        <color rgb="FF000000"/>
        <rFont val="Arial Narrow"/>
        <family val="2"/>
      </rPr>
      <t>Fecha de Terminación</t>
    </r>
    <r>
      <rPr>
        <sz val="10"/>
        <color rgb="FF000000"/>
        <rFont val="Arial Narrow"/>
        <family val="2"/>
      </rPr>
      <t xml:space="preserve">: 4 de junio de 2020 Etapa Constructiva                          </t>
    </r>
    <r>
      <rPr>
        <b/>
        <u/>
        <sz val="10"/>
        <color rgb="FF000000"/>
        <rFont val="Arial Narrow"/>
        <family val="2"/>
      </rPr>
      <t>Avances</t>
    </r>
    <r>
      <rPr>
        <sz val="10"/>
        <color rgb="FF000000"/>
        <rFont val="Arial Narrow"/>
        <family val="2"/>
      </rPr>
      <t>: Sedimentadores (80%); Floculadores (79%); Cánal de Reparto (94%); Filtros (95%</t>
    </r>
  </si>
  <si>
    <t xml:space="preserve"> Adenda de tiempo No.2, por 270 días, refrendada el 30 de diciembre de 2019    (SCAFID 7885284)</t>
  </si>
  <si>
    <t>Adenda de tiempo en subsanación se estan atendiendo observaciones de la Contraloría enviadas el 3 de enero de 2020 (SCAFID 7203449)</t>
  </si>
  <si>
    <t>Adenda de tiempo por 783 días en subsanación se estan atendiendo observaciones de la Contraloría enviadas el 15 de julio de 2019 (SCAFID 7701993)</t>
  </si>
  <si>
    <r>
      <rPr>
        <b/>
        <sz val="10"/>
        <color rgb="FF000000"/>
        <rFont val="Arial Narrow"/>
        <family val="2"/>
      </rPr>
      <t>Contratista</t>
    </r>
    <r>
      <rPr>
        <sz val="10"/>
        <color rgb="FF000000"/>
        <rFont val="Arial Narrow"/>
        <family val="2"/>
      </rPr>
      <t xml:space="preserve">:Empresa Vigueconz Estevez      </t>
    </r>
    <r>
      <rPr>
        <b/>
        <sz val="10"/>
        <color rgb="FF000000"/>
        <rFont val="Arial Narrow"/>
        <family val="2"/>
      </rPr>
      <t>Contrato</t>
    </r>
    <r>
      <rPr>
        <sz val="10"/>
        <color rgb="FF000000"/>
        <rFont val="Arial Narrow"/>
        <family val="2"/>
      </rPr>
      <t xml:space="preserve"> COC-BID- 2018 (FID-128) No.61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Terminación</t>
    </r>
    <r>
      <rPr>
        <sz val="10"/>
        <color rgb="FF000000"/>
        <rFont val="Arial Narrow"/>
        <family val="2"/>
      </rPr>
      <t>: 31 de agosto de 2020</t>
    </r>
  </si>
  <si>
    <r>
      <rPr>
        <b/>
        <sz val="10"/>
        <color rgb="FF000000"/>
        <rFont val="Arial Narrow"/>
        <family val="2"/>
      </rPr>
      <t>Contratista:</t>
    </r>
    <r>
      <rPr>
        <sz val="10"/>
        <color rgb="FF000000"/>
        <rFont val="Arial Narrow"/>
        <family val="2"/>
      </rPr>
      <t xml:space="preserve"> Consorcio Acciona Panamá Oeste (Acciona Agua, S.A. Infraestructura S.A.)
</t>
    </r>
    <r>
      <rPr>
        <b/>
        <sz val="10"/>
        <color rgb="FF000000"/>
        <rFont val="Arial Narrow"/>
        <family val="2"/>
      </rPr>
      <t>Contrato</t>
    </r>
    <r>
      <rPr>
        <sz val="10"/>
        <color rgb="FF000000"/>
        <rFont val="Arial Narrow"/>
        <family val="2"/>
      </rPr>
      <t xml:space="preserve">: No.1-2017. 
</t>
    </r>
    <r>
      <rPr>
        <b/>
        <sz val="10"/>
        <color rgb="FF000000"/>
        <rFont val="Arial Narrow"/>
        <family val="2"/>
      </rPr>
      <t>Orden de Proceder:</t>
    </r>
    <r>
      <rPr>
        <sz val="10"/>
        <color rgb="FF000000"/>
        <rFont val="Arial Narrow"/>
        <family val="2"/>
      </rPr>
      <t xml:space="preserve"> 25 de Abril de 2017.   </t>
    </r>
    <r>
      <rPr>
        <b/>
        <sz val="10"/>
        <color rgb="FF000000"/>
        <rFont val="Arial Narrow"/>
        <family val="2"/>
      </rPr>
      <t>Fecha de Terminación</t>
    </r>
    <r>
      <rPr>
        <sz val="10"/>
        <color rgb="FF000000"/>
        <rFont val="Arial Narrow"/>
        <family val="2"/>
      </rPr>
      <t xml:space="preserve">: 24 de febrero de 2021. (Etapa Constructiva)                                </t>
    </r>
    <r>
      <rPr>
        <b/>
        <sz val="10"/>
        <color rgb="FF000000"/>
        <rFont val="Arial Narrow"/>
        <family val="2"/>
      </rPr>
      <t>Etapa de Construcción:</t>
    </r>
    <r>
      <rPr>
        <sz val="10"/>
        <color rgb="FF000000"/>
        <rFont val="Arial Narrow"/>
        <family val="2"/>
      </rPr>
      <t>Construcción de la PTAP (23%); Pre-ozonización y Cámara de Mezcla (44%); Floculación - Sedimentación (59%); Filtración  (21%</t>
    </r>
    <r>
      <rPr>
        <b/>
        <sz val="10"/>
        <color rgb="FF000000"/>
        <rFont val="Arial Narrow"/>
        <family val="2"/>
      </rPr>
      <t>)</t>
    </r>
    <r>
      <rPr>
        <sz val="10"/>
        <color rgb="FF000000"/>
        <rFont val="Arial Narrow"/>
        <family val="2"/>
      </rPr>
      <t xml:space="preserve">                                                                         Seguimiento a la aprobación de permiso de ejecución con la ACP (Espejo de agua)</t>
    </r>
  </si>
  <si>
    <r>
      <rPr>
        <b/>
        <sz val="10"/>
        <color rgb="FF000000"/>
        <rFont val="Arial Narrow"/>
        <family val="2"/>
      </rPr>
      <t>Contratista</t>
    </r>
    <r>
      <rPr>
        <sz val="10"/>
        <color rgb="FF000000"/>
        <rFont val="Arial Narrow"/>
        <family val="2"/>
      </rPr>
      <t xml:space="preserve">:Vigueconz Estevez,   S.A           </t>
    </r>
    <r>
      <rPr>
        <b/>
        <sz val="10"/>
        <color rgb="FF000000"/>
        <rFont val="Arial Narrow"/>
        <family val="2"/>
      </rPr>
      <t>Contrato</t>
    </r>
    <r>
      <rPr>
        <sz val="10"/>
        <color rgb="FF000000"/>
        <rFont val="Arial Narrow"/>
        <family val="2"/>
      </rPr>
      <t xml:space="preserve"> COC_BID (Fid-128) No.65,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Terminacion;</t>
    </r>
    <r>
      <rPr>
        <sz val="10"/>
        <color rgb="FF000000"/>
        <rFont val="Arial Narrow"/>
        <family val="2"/>
      </rPr>
      <t xml:space="preserve"> 31 de agosto de 2020  El Contratista ha logrado el reaseguro del Proyecto, con La Regional de Seguros. La Cuenta N°1 se envió a Contraloría para inspecciones y firma. . </t>
    </r>
  </si>
  <si>
    <t>En trámite en la Contraloría, Adenda de Tiempo No.1 por 459 días adicionales (31 de agosto de 2020).</t>
  </si>
  <si>
    <r>
      <rPr>
        <b/>
        <sz val="10"/>
        <color rgb="FF000000"/>
        <rFont val="Arial Narrow"/>
        <family val="2"/>
      </rPr>
      <t>Contrato</t>
    </r>
    <r>
      <rPr>
        <sz val="10"/>
        <color rgb="FF000000"/>
        <rFont val="Arial Narrow"/>
        <family val="2"/>
      </rPr>
      <t xml:space="preserve">: C-10-2019                                   </t>
    </r>
    <r>
      <rPr>
        <b/>
        <sz val="10"/>
        <color rgb="FF000000"/>
        <rFont val="Arial Narrow"/>
        <family val="2"/>
      </rPr>
      <t>Contratista;</t>
    </r>
    <r>
      <rPr>
        <sz val="10"/>
        <color rgb="FF000000"/>
        <rFont val="Arial Narrow"/>
        <family val="2"/>
      </rPr>
      <t xml:space="preserve"> Estudios de Ingenieria  S.A      </t>
    </r>
    <r>
      <rPr>
        <b/>
        <sz val="10"/>
        <color rgb="FF000000"/>
        <rFont val="Arial Narrow"/>
        <family val="2"/>
      </rPr>
      <t>Orden de Proceder</t>
    </r>
    <r>
      <rPr>
        <sz val="10"/>
        <color rgb="FF000000"/>
        <rFont val="Arial Narrow"/>
        <family val="2"/>
      </rPr>
      <t xml:space="preserve">; 5 junio de 2019           </t>
    </r>
    <r>
      <rPr>
        <b/>
        <sz val="10"/>
        <color rgb="FF000000"/>
        <rFont val="Arial Narrow"/>
        <family val="2"/>
      </rPr>
      <t>Fecha de Terminación:</t>
    </r>
    <r>
      <rPr>
        <sz val="10"/>
        <color rgb="FF000000"/>
        <rFont val="Arial Narrow"/>
        <family val="2"/>
      </rPr>
      <t xml:space="preserve"> 30 de mayo de 2020                                                             </t>
    </r>
    <r>
      <rPr>
        <b/>
        <u/>
        <sz val="10"/>
        <color rgb="FF000000"/>
        <rFont val="Arial Narrow"/>
        <family val="2"/>
      </rPr>
      <t>Avances:</t>
    </r>
    <r>
      <rPr>
        <sz val="10"/>
        <color rgb="FF000000"/>
        <rFont val="Arial Narrow"/>
        <family val="2"/>
      </rPr>
      <t>Se esta en espera de aprobación de planos por el MOP. En espera de firma del Director Ejecutivo  del informe Técnico para trámite de adenda de tiempo.</t>
    </r>
  </si>
  <si>
    <r>
      <rPr>
        <b/>
        <sz val="10"/>
        <color rgb="FF000000"/>
        <rFont val="Arial Narrow"/>
        <family val="2"/>
      </rPr>
      <t>Contrato</t>
    </r>
    <r>
      <rPr>
        <sz val="10"/>
        <color rgb="FF000000"/>
        <rFont val="Arial Narrow"/>
        <family val="2"/>
      </rPr>
      <t xml:space="preserve">: C-12-2019                                   </t>
    </r>
    <r>
      <rPr>
        <b/>
        <sz val="10"/>
        <color rgb="FF000000"/>
        <rFont val="Arial Narrow"/>
        <family val="2"/>
      </rPr>
      <t>Contratista</t>
    </r>
    <r>
      <rPr>
        <sz val="10"/>
        <color rgb="FF000000"/>
        <rFont val="Arial Narrow"/>
        <family val="2"/>
      </rPr>
      <t xml:space="preserve">; Estudios de Ingenieria  S.A       </t>
    </r>
    <r>
      <rPr>
        <b/>
        <sz val="10"/>
        <color rgb="FF000000"/>
        <rFont val="Arial Narrow"/>
        <family val="2"/>
      </rPr>
      <t>Orden de Procede</t>
    </r>
    <r>
      <rPr>
        <sz val="10"/>
        <color rgb="FF000000"/>
        <rFont val="Arial Narrow"/>
        <family val="2"/>
      </rPr>
      <t xml:space="preserve">r; 5 junio de 2019            </t>
    </r>
    <r>
      <rPr>
        <b/>
        <sz val="10"/>
        <color rgb="FF000000"/>
        <rFont val="Arial Narrow"/>
        <family val="2"/>
      </rPr>
      <t>Fecha de Terminación:</t>
    </r>
    <r>
      <rPr>
        <sz val="10"/>
        <color rgb="FF000000"/>
        <rFont val="Arial Narrow"/>
        <family val="2"/>
      </rPr>
      <t xml:space="preserve"> 30 de mayo de 2020.                                                        </t>
    </r>
    <r>
      <rPr>
        <b/>
        <u/>
        <sz val="10"/>
        <color rgb="FF000000"/>
        <rFont val="Arial Narrow"/>
        <family val="2"/>
      </rPr>
      <t>Avances</t>
    </r>
    <r>
      <rPr>
        <sz val="10"/>
        <color rgb="FF000000"/>
        <rFont val="Arial Narrow"/>
        <family val="2"/>
      </rPr>
      <t xml:space="preserve">:Se esta en espera de aprobación de planos por el MOP. En espera de firma del Director Ejecutivo  del informe Técnico para trámite de adenda de tiempo. </t>
    </r>
  </si>
  <si>
    <r>
      <rPr>
        <b/>
        <sz val="10"/>
        <color rgb="FF000000"/>
        <rFont val="Arial Narrow"/>
        <family val="2"/>
      </rPr>
      <t>Contratista:</t>
    </r>
    <r>
      <rPr>
        <sz val="10"/>
        <color rgb="FF000000"/>
        <rFont val="Arial Narrow"/>
        <family val="2"/>
      </rPr>
      <t xml:space="preserve"> Constructora MECO S.A.          </t>
    </r>
    <r>
      <rPr>
        <b/>
        <sz val="10"/>
        <color rgb="FF000000"/>
        <rFont val="Arial Narrow"/>
        <family val="2"/>
      </rPr>
      <t>Contrato No</t>
    </r>
    <r>
      <rPr>
        <sz val="10"/>
        <color rgb="FF000000"/>
        <rFont val="Arial Narrow"/>
        <family val="2"/>
      </rPr>
      <t xml:space="preserve">.: COC-CAF (Fid 128 No.01)   </t>
    </r>
    <r>
      <rPr>
        <b/>
        <sz val="10"/>
        <color rgb="FF000000"/>
        <rFont val="Arial Narrow"/>
        <family val="2"/>
      </rPr>
      <t>Orden de proceder</t>
    </r>
    <r>
      <rPr>
        <sz val="10"/>
        <color rgb="FF000000"/>
        <rFont val="Arial Narrow"/>
        <family val="2"/>
      </rPr>
      <t xml:space="preserve">: 21 de Julio de 2016.     </t>
    </r>
    <r>
      <rPr>
        <b/>
        <sz val="10"/>
        <color rgb="FF000000"/>
        <rFont val="Arial Narrow"/>
        <family val="2"/>
      </rPr>
      <t>Fecha de Terminación</t>
    </r>
    <r>
      <rPr>
        <sz val="10"/>
        <color rgb="FF000000"/>
        <rFont val="Arial Narrow"/>
        <family val="2"/>
      </rPr>
      <t>: 31 de jlulio de 2020. (Etapa Constructiva)</t>
    </r>
  </si>
  <si>
    <r>
      <rPr>
        <b/>
        <sz val="10"/>
        <color rgb="FF000000"/>
        <rFont val="Arial Narrow"/>
        <family val="2"/>
      </rPr>
      <t>Contrato No</t>
    </r>
    <r>
      <rPr>
        <sz val="10"/>
        <color rgb="FF000000"/>
        <rFont val="Arial Narrow"/>
        <family val="2"/>
      </rPr>
      <t xml:space="preserve">.: 130-2014
</t>
    </r>
    <r>
      <rPr>
        <b/>
        <sz val="10"/>
        <color rgb="FF000000"/>
        <rFont val="Arial Narrow"/>
        <family val="2"/>
      </rPr>
      <t>Contratista</t>
    </r>
    <r>
      <rPr>
        <sz val="10"/>
        <color rgb="FF000000"/>
        <rFont val="Arial Narrow"/>
        <family val="2"/>
      </rPr>
      <t xml:space="preserve">: TRANSEQ, S.A. 
</t>
    </r>
    <r>
      <rPr>
        <b/>
        <sz val="10"/>
        <color rgb="FF000000"/>
        <rFont val="Arial Narrow"/>
        <family val="2"/>
      </rPr>
      <t>Orden de procede</t>
    </r>
    <r>
      <rPr>
        <sz val="10"/>
        <color rgb="FF000000"/>
        <rFont val="Arial Narrow"/>
        <family val="2"/>
      </rPr>
      <t>r:  17 de agosto de 2015   F</t>
    </r>
    <r>
      <rPr>
        <b/>
        <sz val="10"/>
        <color rgb="FF000000"/>
        <rFont val="Arial Narrow"/>
        <family val="2"/>
      </rPr>
      <t>echa de Terminación:</t>
    </r>
    <r>
      <rPr>
        <sz val="10"/>
        <color rgb="FF000000"/>
        <rFont val="Arial Narrow"/>
        <family val="2"/>
      </rPr>
      <t xml:space="preserve"> 30 de junio de 2020 Etapa Constructiva</t>
    </r>
  </si>
  <si>
    <r>
      <rPr>
        <b/>
        <sz val="12"/>
        <color theme="1"/>
        <rFont val="Arial Narrow"/>
        <family val="2"/>
      </rPr>
      <t>Contratista</t>
    </r>
    <r>
      <rPr>
        <sz val="12"/>
        <color theme="1"/>
        <rFont val="Arial Narrow"/>
        <family val="2"/>
      </rPr>
      <t xml:space="preserve">: APROCOSA.                      El contrato fue refrendado el 26 de diciembre de 2019, en proceso de orden de proceder. </t>
    </r>
    <r>
      <rPr>
        <b/>
        <sz val="12"/>
        <color theme="1"/>
        <rFont val="Arial Narrow"/>
        <family val="2"/>
      </rPr>
      <t>(SCAFID 8161863)</t>
    </r>
  </si>
  <si>
    <r>
      <rPr>
        <b/>
        <sz val="10"/>
        <color rgb="FF000000"/>
        <rFont val="Arial Narrow"/>
        <family val="2"/>
      </rPr>
      <t>Contrato</t>
    </r>
    <r>
      <rPr>
        <sz val="10"/>
        <color rgb="FF000000"/>
        <rFont val="Arial Narrow"/>
        <family val="2"/>
      </rPr>
      <t xml:space="preserve"> COC-BID_2018 (FID)-128No.68  </t>
    </r>
    <r>
      <rPr>
        <b/>
        <sz val="10"/>
        <color rgb="FF000000"/>
        <rFont val="Arial Narrow"/>
        <family val="2"/>
      </rPr>
      <t>Contratista:</t>
    </r>
    <r>
      <rPr>
        <sz val="10"/>
        <color rgb="FF000000"/>
        <rFont val="Arial Narrow"/>
        <family val="2"/>
      </rPr>
      <t xml:space="preserve"> BTD Proyectos 12, S.A             </t>
    </r>
    <r>
      <rPr>
        <b/>
        <sz val="10"/>
        <color rgb="FF000000"/>
        <rFont val="Arial Narrow"/>
        <family val="2"/>
      </rPr>
      <t>Orden de Proceder</t>
    </r>
    <r>
      <rPr>
        <sz val="10"/>
        <color rgb="FF000000"/>
        <rFont val="Arial Narrow"/>
        <family val="2"/>
      </rPr>
      <t xml:space="preserve">: 15 de enero de 2019 </t>
    </r>
    <r>
      <rPr>
        <b/>
        <sz val="10"/>
        <color rgb="FF000000"/>
        <rFont val="Arial Narrow"/>
        <family val="2"/>
      </rPr>
      <t>Fecha de Terminación</t>
    </r>
    <r>
      <rPr>
        <sz val="10"/>
        <color rgb="FF000000"/>
        <rFont val="Arial Narrow"/>
        <family val="2"/>
      </rPr>
      <t xml:space="preserve">:  15 de enero de 2020.                                                       </t>
    </r>
    <r>
      <rPr>
        <b/>
        <sz val="10"/>
        <color rgb="FF000000"/>
        <rFont val="Arial Narrow"/>
        <family val="2"/>
      </rPr>
      <t>Principales avances</t>
    </r>
    <r>
      <rPr>
        <sz val="10"/>
        <color rgb="FF000000"/>
        <rFont val="Arial Narrow"/>
        <family val="2"/>
      </rPr>
      <t>:   estructura para los Lechos de Secados, con todos los muros construidos e inicio en adecuaciones hidráulicas propias del sistema (92%); construcción de Tinas de Clarificación (85%); instalación de compuertas tipo guillotina en la entrada de los floculadores N°1 y N°3</t>
    </r>
  </si>
  <si>
    <r>
      <rPr>
        <b/>
        <sz val="10"/>
        <color rgb="FF000000"/>
        <rFont val="Arial Narrow"/>
        <family val="2"/>
      </rPr>
      <t>Contratista:</t>
    </r>
    <r>
      <rPr>
        <sz val="10"/>
        <color rgb="FF000000"/>
        <rFont val="Arial Narrow"/>
        <family val="2"/>
      </rPr>
      <t xml:space="preserve"> Asociación Accidental de Aguas    </t>
    </r>
    <r>
      <rPr>
        <b/>
        <sz val="10"/>
        <color rgb="FF000000"/>
        <rFont val="Arial Narrow"/>
        <family val="2"/>
      </rPr>
      <t>Contrato</t>
    </r>
    <r>
      <rPr>
        <sz val="10"/>
        <color rgb="FF000000"/>
        <rFont val="Arial Narrow"/>
        <family val="2"/>
      </rPr>
      <t xml:space="preserve">: 140-2014                                 </t>
    </r>
    <r>
      <rPr>
        <b/>
        <sz val="10"/>
        <color rgb="FF000000"/>
        <rFont val="Arial Narrow"/>
        <family val="2"/>
      </rPr>
      <t>Orden de proceder:</t>
    </r>
    <r>
      <rPr>
        <sz val="10"/>
        <color rgb="FF000000"/>
        <rFont val="Arial Narrow"/>
        <family val="2"/>
      </rPr>
      <t xml:space="preserve"> 17 de Agosto de 2015.                                                     </t>
    </r>
    <r>
      <rPr>
        <b/>
        <sz val="10"/>
        <color rgb="FF000000"/>
        <rFont val="Arial Narrow"/>
        <family val="2"/>
      </rPr>
      <t>Fecha de Terminación</t>
    </r>
    <r>
      <rPr>
        <sz val="10"/>
        <color rgb="FF000000"/>
        <rFont val="Arial Narrow"/>
        <family val="2"/>
      </rPr>
      <t>: 29 de mayo de 2020.  Tanque de Almacenamiento de 250,000 galones (pendiente desinfección y conexión eléctrica). Suministro e instalación de Equipo de Telemetría: 93%.Tanque de Almacenamiento de 250,000 galones (pendiente desinfección y conexión eléctrica). Suministro e instalación de Equipo de Telemetría: 93%.</t>
    </r>
  </si>
  <si>
    <r>
      <rPr>
        <b/>
        <sz val="10"/>
        <color rgb="FF000000"/>
        <rFont val="Arial Narrow"/>
        <family val="2"/>
      </rPr>
      <t>Contratista</t>
    </r>
    <r>
      <rPr>
        <sz val="10"/>
        <color rgb="FF000000"/>
        <rFont val="Arial Narrow"/>
        <family val="2"/>
      </rPr>
      <t xml:space="preserve">: Vigencias Estevez  Contrato </t>
    </r>
    <r>
      <rPr>
        <b/>
        <sz val="10"/>
        <color rgb="FF000000"/>
        <rFont val="Arial Narrow"/>
        <family val="2"/>
      </rPr>
      <t>No. Contrato:</t>
    </r>
    <r>
      <rPr>
        <sz val="10"/>
        <color rgb="FF000000"/>
        <rFont val="Arial Narrow"/>
        <family val="2"/>
      </rPr>
      <t xml:space="preserve"> COC-BID (FID-128 No.67                     </t>
    </r>
    <r>
      <rPr>
        <b/>
        <sz val="10"/>
        <color rgb="FF000000"/>
        <rFont val="Arial Narrow"/>
        <family val="2"/>
      </rPr>
      <t>Orden de Proceder</t>
    </r>
    <r>
      <rPr>
        <sz val="10"/>
        <color rgb="FF000000"/>
        <rFont val="Arial Narrow"/>
        <family val="2"/>
      </rPr>
      <t xml:space="preserve">: 10 de octubre de 2018                                                             </t>
    </r>
    <r>
      <rPr>
        <b/>
        <sz val="10"/>
        <color rgb="FF000000"/>
        <rFont val="Arial Narrow"/>
        <family val="2"/>
      </rPr>
      <t>Fecha de Terminación</t>
    </r>
    <r>
      <rPr>
        <sz val="10"/>
        <color rgb="FF000000"/>
        <rFont val="Arial Narrow"/>
        <family val="2"/>
      </rPr>
      <t xml:space="preserve">: 26 de julio de 2020                                                                         En trámite de pago en la Contraloría las Cuentas No.3, 4, 5 y 6. </t>
    </r>
  </si>
  <si>
    <r>
      <t xml:space="preserve">                                                                    </t>
    </r>
    <r>
      <rPr>
        <b/>
        <sz val="10"/>
        <color rgb="FF000000"/>
        <rFont val="Arial Narrow"/>
        <family val="2"/>
      </rPr>
      <t>Contratista</t>
    </r>
    <r>
      <rPr>
        <sz val="10"/>
        <color rgb="FF000000"/>
        <rFont val="Arial Narrow"/>
        <family val="2"/>
      </rPr>
      <t xml:space="preserve">: Distribuidora Arval S.A.             </t>
    </r>
    <r>
      <rPr>
        <b/>
        <sz val="10"/>
        <color rgb="FF000000"/>
        <rFont val="Arial Narrow"/>
        <family val="2"/>
      </rPr>
      <t xml:space="preserve">Contrato </t>
    </r>
    <r>
      <rPr>
        <sz val="10"/>
        <color rgb="FF000000"/>
        <rFont val="Arial Narrow"/>
        <family val="2"/>
      </rPr>
      <t xml:space="preserve">126-2015.                                 </t>
    </r>
    <r>
      <rPr>
        <b/>
        <sz val="10"/>
        <color rgb="FF000000"/>
        <rFont val="Arial Narrow"/>
        <family val="2"/>
      </rPr>
      <t>Orden de proceder</t>
    </r>
    <r>
      <rPr>
        <sz val="10"/>
        <color rgb="FF000000"/>
        <rFont val="Arial Narrow"/>
        <family val="2"/>
      </rPr>
      <t xml:space="preserve">:10 de octubre de 2017.                                                           </t>
    </r>
    <r>
      <rPr>
        <b/>
        <sz val="10"/>
        <color rgb="FF000000"/>
        <rFont val="Arial Narrow"/>
        <family val="2"/>
      </rPr>
      <t>Fecha de Terminación</t>
    </r>
    <r>
      <rPr>
        <sz val="10"/>
        <color rgb="FF000000"/>
        <rFont val="Arial Narrow"/>
        <family val="2"/>
      </rPr>
      <t xml:space="preserve">: 31 de marzo de 2020. En evaluación por parte de IDAAN cambio en el alcance de proyecto. </t>
    </r>
  </si>
  <si>
    <r>
      <rPr>
        <b/>
        <sz val="10"/>
        <rFont val="Arial Narrow"/>
        <family val="2"/>
      </rPr>
      <t>Contratista:</t>
    </r>
    <r>
      <rPr>
        <sz val="10"/>
        <rFont val="Arial Narrow"/>
        <family val="2"/>
      </rPr>
      <t xml:space="preserve"> Consorcio Aguas de San Martin                                                                                    Orden de proceder; 10 de octubre de 2017                  </t>
    </r>
    <r>
      <rPr>
        <b/>
        <sz val="10"/>
        <rFont val="Arial Narrow"/>
        <family val="2"/>
      </rPr>
      <t>Fecha de Terminación</t>
    </r>
    <r>
      <rPr>
        <sz val="10"/>
        <rFont val="Arial Narrow"/>
        <family val="2"/>
      </rPr>
      <t xml:space="preserve">: 11 de junio de 2019.                                                                    Se esta en espera del cronograma actualizado del proyecto y correcciones del plano por parte del Contratista. </t>
    </r>
  </si>
  <si>
    <r>
      <rPr>
        <b/>
        <sz val="10"/>
        <color rgb="FF000000"/>
        <rFont val="Arial Narrow"/>
        <family val="2"/>
      </rPr>
      <t>Contratista:</t>
    </r>
    <r>
      <rPr>
        <sz val="10"/>
        <color rgb="FF000000"/>
        <rFont val="Arial Narrow"/>
        <family val="2"/>
      </rPr>
      <t xml:space="preserve"> INVERSIONES SOLABED, S.A,                                                                    </t>
    </r>
    <r>
      <rPr>
        <b/>
        <sz val="10"/>
        <color rgb="FF000000"/>
        <rFont val="Arial Narrow"/>
        <family val="2"/>
      </rPr>
      <t xml:space="preserve">Contrato </t>
    </r>
    <r>
      <rPr>
        <sz val="10"/>
        <color rgb="FF000000"/>
        <rFont val="Arial Narrow"/>
        <family val="2"/>
      </rPr>
      <t xml:space="preserve">132-2017.                               </t>
    </r>
    <r>
      <rPr>
        <b/>
        <sz val="10"/>
        <color rgb="FF000000"/>
        <rFont val="Arial Narrow"/>
        <family val="2"/>
      </rPr>
      <t>Orden de proceder</t>
    </r>
    <r>
      <rPr>
        <sz val="10"/>
        <color rgb="FF000000"/>
        <rFont val="Arial Narrow"/>
        <family val="2"/>
      </rPr>
      <t xml:space="preserve"> el 16 de abril de 2018  </t>
    </r>
    <r>
      <rPr>
        <b/>
        <sz val="10"/>
        <color rgb="FF000000"/>
        <rFont val="Arial Narrow"/>
        <family val="2"/>
      </rPr>
      <t>Fecha de Terminación</t>
    </r>
    <r>
      <rPr>
        <sz val="10"/>
        <color rgb="FF000000"/>
        <rFont val="Arial Narrow"/>
        <family val="2"/>
      </rPr>
      <t>: 7 de octubre de 2019. El Contratista sigue trabajando en las tuberias de HD.</t>
    </r>
  </si>
  <si>
    <t>COMPROMISOS  - GABINETES Y GIRAS COMUNITARIAS</t>
  </si>
  <si>
    <t xml:space="preserve">Nombre </t>
  </si>
  <si>
    <t>No. De Beneficiarios</t>
  </si>
  <si>
    <t>Inversión B/.</t>
  </si>
  <si>
    <t>Fecha prevista de inicio</t>
  </si>
  <si>
    <t>Fecha de terminación</t>
  </si>
  <si>
    <t>Fuente de financiamiento</t>
  </si>
  <si>
    <t>Observaciones</t>
  </si>
  <si>
    <t>Agua</t>
  </si>
  <si>
    <r>
      <t xml:space="preserve">Mejoras abastecimiento de agua potable en </t>
    </r>
    <r>
      <rPr>
        <b/>
        <sz val="11"/>
        <rFont val="Arial Narrow"/>
        <family val="2"/>
      </rPr>
      <t>Palmas</t>
    </r>
    <r>
      <rPr>
        <sz val="11"/>
        <rFont val="Arial Narrow"/>
        <family val="2"/>
      </rPr>
      <t xml:space="preserve"> </t>
    </r>
    <r>
      <rPr>
        <b/>
        <sz val="11"/>
        <rFont val="Arial Narrow"/>
        <family val="2"/>
      </rPr>
      <t xml:space="preserve">Bellas / Salud / Nuevo Chagres (Costa Abajo de Colón) </t>
    </r>
  </si>
  <si>
    <t>20 de noviembre de 2019</t>
  </si>
  <si>
    <t>15 de marzo de 2020</t>
  </si>
  <si>
    <t xml:space="preserve"> Se proyecta culminar el estudio y diseño el 15 de marzo de 2020 (Prioridad No.1) entregar a CONADES</t>
  </si>
  <si>
    <r>
      <t xml:space="preserve"> Mejoras abastecimiento de agua potable en </t>
    </r>
    <r>
      <rPr>
        <b/>
        <sz val="11"/>
        <rFont val="Arial Narrow"/>
        <family val="2"/>
      </rPr>
      <t xml:space="preserve">Achiote (Costa Abajo de Colón) </t>
    </r>
  </si>
  <si>
    <t>15 de julio de 2020</t>
  </si>
  <si>
    <t xml:space="preserve"> Se proyecta culminar el estudio y diseño 15 de julio de 2020  entregar a CONADES</t>
  </si>
  <si>
    <r>
      <t>Mejoras abastecimiento de agua potable en</t>
    </r>
    <r>
      <rPr>
        <b/>
        <sz val="11"/>
        <rFont val="Arial Narrow"/>
        <family val="2"/>
      </rPr>
      <t xml:space="preserve"> Cuipo (Costa Abajo de Colón) </t>
    </r>
  </si>
  <si>
    <t>15 de junio de 2020</t>
  </si>
  <si>
    <t xml:space="preserve"> Se proyecta culminar el estudio y diseño 15 de junio de 2020 entregar a CONADES</t>
  </si>
  <si>
    <r>
      <t xml:space="preserve">Mejoras abastecimiento de agua potable </t>
    </r>
    <r>
      <rPr>
        <b/>
        <sz val="11"/>
        <rFont val="Arial Narrow"/>
        <family val="2"/>
      </rPr>
      <t xml:space="preserve">en Boca del Río Indio, Miguel de la Borda y Gobea (Costa Abajo de Colón) </t>
    </r>
  </si>
  <si>
    <t xml:space="preserve"> Se proyecta culminar el estudio y diseño el 15 de junio de 2020 entregar a CONADES</t>
  </si>
  <si>
    <r>
      <t>Mejoras abastecimiento de agua potable e</t>
    </r>
    <r>
      <rPr>
        <b/>
        <sz val="11"/>
        <rFont val="Arial Narrow"/>
        <family val="2"/>
      </rPr>
      <t xml:space="preserve">n Piña y Unión de Piña (Costa Abajo de Colón) </t>
    </r>
  </si>
  <si>
    <t>15 de agosto de 2020</t>
  </si>
  <si>
    <t xml:space="preserve"> Se proyecta culminar el estudio y diseño el 15 de agosto de 2020 (Prioridad No.1) entregar a CONADES</t>
  </si>
  <si>
    <r>
      <t xml:space="preserve">Mejoras abastecimiento de agua potable en </t>
    </r>
    <r>
      <rPr>
        <b/>
        <sz val="11"/>
        <rFont val="Arial Narrow"/>
        <family val="2"/>
      </rPr>
      <t xml:space="preserve">Nombre de Dios (Costa Arriba de Colón) </t>
    </r>
  </si>
  <si>
    <t>30 de junio de 2020</t>
  </si>
  <si>
    <r>
      <t xml:space="preserve">Mejoras abastecimiento de agua potable en </t>
    </r>
    <r>
      <rPr>
        <b/>
        <sz val="11"/>
        <rFont val="Arial Narrow"/>
        <family val="2"/>
      </rPr>
      <t xml:space="preserve">Viento Frío (Costa Arriba de Colón) </t>
    </r>
  </si>
  <si>
    <t>31 de julio de 2020</t>
  </si>
  <si>
    <r>
      <t>Mejoras abastecimiento de agua potable</t>
    </r>
    <r>
      <rPr>
        <b/>
        <sz val="11"/>
        <rFont val="Arial Narrow"/>
        <family val="2"/>
      </rPr>
      <t xml:space="preserve"> en Playa Chiquita, Palenque, Miramar y Cuango  (Costa Arriba de Colón) </t>
    </r>
  </si>
  <si>
    <t>31 de marzo de 2020</t>
  </si>
  <si>
    <r>
      <t xml:space="preserve">Mejoras abastecimiento de agua potable en </t>
    </r>
    <r>
      <rPr>
        <b/>
        <sz val="11"/>
        <rFont val="Arial Narrow"/>
        <family val="2"/>
      </rPr>
      <t xml:space="preserve">Palmira y Santa Isabel (Costa Arriba de Colón) </t>
    </r>
  </si>
  <si>
    <t>31 de mayo de 2020</t>
  </si>
  <si>
    <r>
      <t xml:space="preserve">Mejoras abastecimiento de agua potable en </t>
    </r>
    <r>
      <rPr>
        <b/>
        <sz val="11"/>
        <rFont val="Arial Narrow"/>
        <family val="2"/>
      </rPr>
      <t xml:space="preserve">Pedasí (Los Santos) </t>
    </r>
  </si>
  <si>
    <t>2 de enero de 2020</t>
  </si>
  <si>
    <r>
      <t xml:space="preserve">Mejoras al tanque de almacenamiento de 200,000 galones de la comunidad de </t>
    </r>
    <r>
      <rPr>
        <b/>
        <sz val="11"/>
        <rFont val="Arial Narrow"/>
        <family val="2"/>
      </rPr>
      <t>Finca 4 El Empalme, Changuinola, Provincia de Bocas del Toro</t>
    </r>
  </si>
  <si>
    <r>
      <t>Rehabilitación de Pozos, comunidad de Los P</t>
    </r>
    <r>
      <rPr>
        <b/>
        <sz val="11"/>
        <rFont val="Arial Narrow"/>
        <family val="2"/>
      </rPr>
      <t>ozos en la Provincia de Herrera</t>
    </r>
  </si>
  <si>
    <t>3 de enero de 2020</t>
  </si>
  <si>
    <t>En espera de respuesta por parte del MINSA de la localización de los puntos de perforación(Capuri, El Cedro y Las Llanas.</t>
  </si>
  <si>
    <r>
      <t>Mejoras al sistema de abastecimiento de agua potable de las comunidades de</t>
    </r>
    <r>
      <rPr>
        <b/>
        <sz val="11"/>
        <rFont val="Arial Narrow"/>
        <family val="2"/>
      </rPr>
      <t xml:space="preserve"> Guabito, Las Tablas</t>
    </r>
    <r>
      <rPr>
        <sz val="11"/>
        <rFont val="Arial Narrow"/>
        <family val="2"/>
      </rPr>
      <t xml:space="preserve">, </t>
    </r>
    <r>
      <rPr>
        <b/>
        <sz val="11"/>
        <rFont val="Arial Narrow"/>
        <family val="2"/>
      </rPr>
      <t>Provincia de Bocas del Toro.</t>
    </r>
  </si>
  <si>
    <t>4 de mayo de 2020</t>
  </si>
  <si>
    <t>En mayo de 2020 se inicia el proceso de recopilación de información.</t>
  </si>
  <si>
    <t xml:space="preserve"> Saneamiento</t>
  </si>
  <si>
    <r>
      <rPr>
        <b/>
        <sz val="11"/>
        <rFont val="Arial Narrow"/>
        <family val="2"/>
      </rPr>
      <t>Penonomé</t>
    </r>
    <r>
      <rPr>
        <sz val="11"/>
        <rFont val="Arial Narrow"/>
        <family val="2"/>
      </rPr>
      <t xml:space="preserve"> - Estudios y Diseños final del acueducto y alcantarillado </t>
    </r>
  </si>
  <si>
    <t>15 de noviembre de 2019</t>
  </si>
  <si>
    <t>30 de marzo de 2020</t>
  </si>
  <si>
    <t>Se proyecta entregar al el diseño del sistema de alcantarillado al MOP el 30 de marzo de 2020.</t>
  </si>
  <si>
    <t>INFORME DE ADENDAS EN CONTRALORÍA</t>
  </si>
  <si>
    <t>DIRECCIÓN DE INGENIERÍA</t>
  </si>
  <si>
    <t>ADENDAS  BID</t>
  </si>
  <si>
    <t>MONTO</t>
  </si>
  <si>
    <t>SCAFID</t>
  </si>
  <si>
    <t>STATUS</t>
  </si>
  <si>
    <t>DAVID FASE I</t>
  </si>
  <si>
    <t>COC-BID(FID-128) No. 67</t>
  </si>
  <si>
    <t>En Trámite / DIRECCIÓN DE FISCALIZACIÓN</t>
  </si>
  <si>
    <t>SANTIAGO ASTEISA</t>
  </si>
  <si>
    <t>COC-BID(FID-128) No. 47</t>
  </si>
  <si>
    <t>Enviar Evaluación/SECCIÓN DE ASESORÍA FISCAL - DAEF</t>
  </si>
  <si>
    <t>ALGARROBOS</t>
  </si>
  <si>
    <t>COC-BID(FID-128) No. 68</t>
  </si>
  <si>
    <t>Enviado a la Entidad a Subsanar--13/enero/2020</t>
  </si>
  <si>
    <t>SAN CARLOS</t>
  </si>
  <si>
    <t>COC-BID(FID-128) No. 65</t>
  </si>
  <si>
    <t>Enviado a la Entidad a Subsanar--26/dic/19</t>
  </si>
  <si>
    <t>CAÑITAS</t>
  </si>
  <si>
    <t>COC-BID(FID-128) No. 61</t>
  </si>
  <si>
    <t>Enviar Evaluación/OFIC. COORD.VIA BRASIL - DASJ</t>
  </si>
  <si>
    <t>DAVID FASE II</t>
  </si>
  <si>
    <t>COC-BID(FID-128) No. 14</t>
  </si>
  <si>
    <t>Enviado a la Entidad a Subsanar--13/enero/2019</t>
  </si>
  <si>
    <t>JACÚ</t>
  </si>
  <si>
    <t>COC-BID(FID-128) No. 02</t>
  </si>
  <si>
    <t>Enviado a la Entidad a Subsanar-- 13/enero/2020</t>
  </si>
  <si>
    <t>ADENDAS  BIRF</t>
  </si>
  <si>
    <t>KPMG</t>
  </si>
  <si>
    <t>CC-001-BIRF-2017</t>
  </si>
  <si>
    <t>Enviado a la Entidad a Subsanar-- 3/enero/2020</t>
  </si>
  <si>
    <t>JALISCO PEDERNAL-COPISA</t>
  </si>
  <si>
    <t>COC-01-BRIF-2015</t>
  </si>
  <si>
    <t>ADENDAS  CAF</t>
  </si>
  <si>
    <t>PROYECO PANAMÁ OESTE</t>
  </si>
  <si>
    <t>CC-01-CAF-2015</t>
  </si>
  <si>
    <t>Enviado a la Entidad a Subsanar-- 20/dic/19</t>
  </si>
  <si>
    <t>BETHANIA</t>
  </si>
  <si>
    <t>COC-05-CAF-2014</t>
  </si>
  <si>
    <t>Enviar Evaluación/ IDAAN - OFIC. DE FISCALIZACIÓN</t>
  </si>
  <si>
    <t>SAN FRANCISCO</t>
  </si>
  <si>
    <t>COC-08-CAF-2014</t>
  </si>
  <si>
    <t>Enviado a la Entidad a Subsanar/ 23/dic/19</t>
  </si>
  <si>
    <t>CHORRERA CAPIRA</t>
  </si>
  <si>
    <t>COC-09-CAF-2014</t>
  </si>
  <si>
    <t>Enviado a la Entidad a Subsanar/ 8/enero/2020</t>
  </si>
  <si>
    <t>CHORRILLO SANTANA</t>
  </si>
  <si>
    <t>COC-06-CAF-2014</t>
  </si>
  <si>
    <t>Enviado a la Entidad a Subsanar/ 19/dic/19</t>
  </si>
  <si>
    <t>CHURRASCO LA PULIDA</t>
  </si>
  <si>
    <t>COC-01-CAF-2017</t>
  </si>
  <si>
    <t>EN TRÁMITE-OFIC. DE FISCALIZACIÓN</t>
  </si>
  <si>
    <t>57-2015</t>
  </si>
  <si>
    <t>EN TRÁMITE DIRECCIÓN DE ASESORÍA JURÍDICA</t>
  </si>
  <si>
    <t>LAFISE</t>
  </si>
  <si>
    <t>190-2012</t>
  </si>
  <si>
    <t>EN TRÁMITE  DIRECCIÓN DE FISCALIZACIÓN</t>
  </si>
  <si>
    <t>PM VERAGUAS BOCAS</t>
  </si>
  <si>
    <t>CS-(FID-128) No. 01 (2019)</t>
  </si>
  <si>
    <t>Enviado a la Entidad a Subsanar-- 26/dic/19</t>
  </si>
  <si>
    <t>FINIQUITOS CAF</t>
  </si>
  <si>
    <t>COC-092-CAF-2013</t>
  </si>
  <si>
    <t>EN TRÁMITE EN LA SEDE  -DI</t>
  </si>
  <si>
    <t>ALC. PARITA</t>
  </si>
  <si>
    <t>116-2014</t>
  </si>
  <si>
    <t>Enviado a la Entidad a Subsanar--13/ENERO/2020</t>
  </si>
  <si>
    <t>DIRECCIÓN DE OPERACIONES</t>
  </si>
  <si>
    <t>En subsanación por falta de fianzas de cumplimiento.</t>
  </si>
  <si>
    <t xml:space="preserve"> Sector 4, Pacora</t>
  </si>
  <si>
    <t>Los Tecales, Arraiján</t>
  </si>
  <si>
    <t>Se incluyó en JD de IDAAN el 16 de enero de 2020 para aprobación y luego enviar a Contraloría</t>
  </si>
  <si>
    <t>28 de Noviembre, Sector 10, Arraiján</t>
  </si>
  <si>
    <t>ADENDA - PROCESO EN JUNTA DIRECTIVA</t>
  </si>
  <si>
    <r>
      <rPr>
        <b/>
        <u/>
        <sz val="12"/>
        <color theme="1"/>
        <rFont val="Arial Narrow"/>
        <family val="2"/>
      </rPr>
      <t>o No. 2019-2-66-0-01-LP-014765.Contratista</t>
    </r>
    <r>
      <rPr>
        <sz val="12"/>
        <color theme="1"/>
        <rFont val="Arial Narrow"/>
        <family val="2"/>
      </rPr>
      <t>: Rigaservis, S.A, En asesoría legal del IDAAN para confección de contrato.</t>
    </r>
  </si>
  <si>
    <t>Aseguradora</t>
  </si>
  <si>
    <t>Fecha Vigente de Fianza</t>
  </si>
  <si>
    <t>Número de Fianza</t>
  </si>
  <si>
    <t xml:space="preserve">04-16-0927484-0 </t>
  </si>
  <si>
    <t>Tipo</t>
  </si>
  <si>
    <t>Cumplimiento</t>
  </si>
  <si>
    <t xml:space="preserve">Nacional de Seguros de Panamá y Centro América, S.A.  </t>
  </si>
  <si>
    <t>Monto de Fianza</t>
  </si>
  <si>
    <t xml:space="preserve">04-16-913232-0 </t>
  </si>
  <si>
    <t xml:space="preserve">Nacional de Seguros </t>
  </si>
  <si>
    <t>04-160937667-0</t>
  </si>
  <si>
    <t>04-160942836-0</t>
  </si>
  <si>
    <t>04-16-0931966-0</t>
  </si>
  <si>
    <t>04-18-0945185-0</t>
  </si>
  <si>
    <t>Nacional de Seguros</t>
  </si>
  <si>
    <t>Vencimiento de Fianzas</t>
  </si>
  <si>
    <t>25/03/2022 (Cumplimiento)            08/03/2020            (Anticipo)</t>
  </si>
  <si>
    <t>10,265,500 (Cumplimiento)            2,150,000                  (Anticipo)</t>
  </si>
  <si>
    <t>04-16-0933413-0</t>
  </si>
  <si>
    <t>04-16-0939708-0</t>
  </si>
  <si>
    <t xml:space="preserve">04-16-0907690-0 </t>
  </si>
  <si>
    <t xml:space="preserve">04-16-0947765-0 (Cumplimient)        04-08-0947767-0 (Anticipo) </t>
  </si>
  <si>
    <t>Actualizado a enero de 2020</t>
  </si>
  <si>
    <t>PROGRAMAS DESARROLLADOS</t>
  </si>
  <si>
    <t>PROGRAMAS DESARROLLADOS - CIERRE ADMINISTRATIVO Y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</si>
</sst>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54"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1"/>
      <name val="Arial"/>
      <family val="2"/>
    </font>
    <font>
      <b/>
      <sz val="12"/>
      <color theme="0"/>
      <name val="Arial"/>
      <family val="2"/>
    </font>
    <font>
      <b/>
      <sz val="12"/>
      <name val="Arial"/>
      <family val="2"/>
    </font>
    <font>
      <sz val="12"/>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FFFFFF"/>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sz val="11"/>
      <color rgb="FF000000"/>
      <name val="Arial Narrow"/>
      <family val="2"/>
    </font>
    <font>
      <sz val="9"/>
      <color theme="1"/>
      <name val="Arial Narrow"/>
      <family val="2"/>
    </font>
    <font>
      <b/>
      <sz val="11"/>
      <color theme="0"/>
      <name val="Arial"/>
      <family val="2"/>
    </font>
    <font>
      <b/>
      <sz val="12"/>
      <name val="Calibri"/>
      <family val="2"/>
      <scheme val="minor"/>
    </font>
    <font>
      <sz val="10"/>
      <name val="Arial Narrow"/>
      <family val="2"/>
    </font>
    <font>
      <sz val="10"/>
      <color rgb="FF000000"/>
      <name val="Arial Narrow"/>
      <family val="2"/>
    </font>
    <font>
      <sz val="12"/>
      <color theme="0"/>
      <name val="Arial"/>
      <family val="2"/>
    </font>
    <font>
      <b/>
      <sz val="16"/>
      <color theme="0"/>
      <name val="Calibri"/>
      <family val="2"/>
      <scheme val="minor"/>
    </font>
    <font>
      <b/>
      <sz val="11"/>
      <color theme="1"/>
      <name val="Arial Narrow"/>
      <family val="2"/>
    </font>
    <font>
      <sz val="12"/>
      <color theme="0"/>
      <name val="Arial Narrow"/>
      <family val="2"/>
    </font>
    <font>
      <sz val="11"/>
      <name val="Arial Narrow"/>
      <family val="2"/>
    </font>
    <font>
      <b/>
      <sz val="10"/>
      <name val="Arial Narrow"/>
      <family val="2"/>
    </font>
    <font>
      <b/>
      <sz val="11"/>
      <name val="Arial Narrow"/>
      <family val="2"/>
    </font>
    <font>
      <sz val="10"/>
      <color theme="1"/>
      <name val="Arial Narrow"/>
      <family val="2"/>
    </font>
    <font>
      <b/>
      <sz val="10"/>
      <color rgb="FFFFFFFF"/>
      <name val="Arial Narrow"/>
      <family val="2"/>
    </font>
    <font>
      <b/>
      <sz val="10"/>
      <color theme="0"/>
      <name val="Arial Narrow"/>
      <family val="2"/>
    </font>
    <font>
      <b/>
      <sz val="11"/>
      <color rgb="FF000000"/>
      <name val="Arial Narrow"/>
      <family val="2"/>
    </font>
    <font>
      <b/>
      <u/>
      <sz val="12"/>
      <color theme="1"/>
      <name val="Arial Narrow"/>
      <family val="2"/>
    </font>
    <font>
      <b/>
      <sz val="16"/>
      <name val="Arial Narrow"/>
      <family val="2"/>
    </font>
    <font>
      <u/>
      <sz val="12"/>
      <color theme="1"/>
      <name val="Arial Narrow"/>
      <family val="2"/>
    </font>
    <font>
      <b/>
      <u/>
      <sz val="10"/>
      <name val="Arial Narrow"/>
      <family val="2"/>
    </font>
    <font>
      <b/>
      <sz val="10"/>
      <color rgb="FF000000"/>
      <name val="Arial Narrow"/>
      <family val="2"/>
    </font>
    <font>
      <b/>
      <sz val="11"/>
      <color rgb="FFFFFFFF"/>
      <name val="Arial Narrow"/>
      <family val="2"/>
    </font>
    <font>
      <b/>
      <u/>
      <sz val="10"/>
      <color rgb="FF000000"/>
      <name val="Arial Narrow"/>
      <family val="2"/>
    </font>
    <font>
      <b/>
      <sz val="14"/>
      <color rgb="FFFFFFFF"/>
      <name val="Arial Narrow"/>
      <family val="2"/>
    </font>
    <font>
      <b/>
      <sz val="13"/>
      <color rgb="FFFFFFFF"/>
      <name val="Arial Narrow"/>
      <family val="2"/>
    </font>
    <font>
      <b/>
      <sz val="11"/>
      <color theme="1"/>
      <name val="Calibri"/>
      <family val="2"/>
      <scheme val="minor"/>
    </font>
    <font>
      <b/>
      <sz val="14"/>
      <color theme="1"/>
      <name val="Arial"/>
      <family val="2"/>
    </font>
    <font>
      <sz val="11"/>
      <color theme="1"/>
      <name val="Arial"/>
      <family val="2"/>
    </font>
    <font>
      <b/>
      <sz val="11"/>
      <color theme="1"/>
      <name val="Arial"/>
      <family val="2"/>
    </font>
    <font>
      <sz val="9"/>
      <color theme="1"/>
      <name val="Arial"/>
      <family val="2"/>
    </font>
    <font>
      <b/>
      <sz val="9"/>
      <color rgb="FFFF0000"/>
      <name val="Arial"/>
      <family val="2"/>
    </font>
    <font>
      <sz val="9"/>
      <color rgb="FF333333"/>
      <name val="Tahoma"/>
      <family val="2"/>
    </font>
    <font>
      <sz val="8"/>
      <color theme="1"/>
      <name val="Arial"/>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2060"/>
        <bgColor indexed="64"/>
      </patternFill>
    </fill>
    <fill>
      <patternFill patternType="solid">
        <fgColor theme="8" tint="-0.249977111117893"/>
        <bgColor indexed="64"/>
      </patternFill>
    </fill>
    <fill>
      <patternFill patternType="solid">
        <fgColor rgb="FF99FF66"/>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diagonal/>
    </border>
    <border>
      <left style="double">
        <color theme="0" tint="-0.499984740745262"/>
      </left>
      <right/>
      <top style="double">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indexed="64"/>
      </top>
      <bottom style="double">
        <color indexed="64"/>
      </bottom>
      <diagonal/>
    </border>
    <border>
      <left style="thin">
        <color indexed="64"/>
      </left>
      <right style="thin">
        <color indexed="64"/>
      </right>
      <top/>
      <bottom/>
      <diagonal/>
    </border>
    <border>
      <left style="medium">
        <color rgb="FFFFFFFF"/>
      </left>
      <right style="medium">
        <color rgb="FFFFFFFF"/>
      </right>
      <top/>
      <bottom/>
      <diagonal/>
    </border>
    <border>
      <left style="thin">
        <color theme="9" tint="-0.499984740745262"/>
      </left>
      <right style="thin">
        <color theme="9" tint="-0.499984740745262"/>
      </right>
      <top style="thin">
        <color theme="9" tint="-0.499984740745262"/>
      </top>
      <bottom/>
      <diagonal/>
    </border>
  </borders>
  <cellStyleXfs count="2">
    <xf numFmtId="0" fontId="0" fillId="0" borderId="0"/>
    <xf numFmtId="43" fontId="1" fillId="0" borderId="0" applyFont="0" applyFill="0" applyBorder="0" applyAlignment="0" applyProtection="0"/>
  </cellStyleXfs>
  <cellXfs count="375">
    <xf numFmtId="0" fontId="0" fillId="0" borderId="0" xfId="0"/>
    <xf numFmtId="0" fontId="3" fillId="0" borderId="0" xfId="0" applyFont="1"/>
    <xf numFmtId="4"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4"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0" fillId="0" borderId="0" xfId="0" applyBorder="1"/>
    <xf numFmtId="3" fontId="6" fillId="3" borderId="7" xfId="1" applyNumberFormat="1" applyFont="1" applyFill="1" applyBorder="1" applyAlignment="1">
      <alignment horizontal="right" vertical="center" wrapText="1"/>
    </xf>
    <xf numFmtId="0" fontId="10" fillId="2" borderId="1" xfId="0" applyFont="1" applyFill="1" applyBorder="1" applyAlignment="1">
      <alignment vertic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left" vertical="center" wrapText="1"/>
    </xf>
    <xf numFmtId="0" fontId="10" fillId="2" borderId="1" xfId="0" applyFont="1" applyFill="1" applyBorder="1" applyAlignment="1">
      <alignment horizontal="left" vertical="center" wrapText="1"/>
    </xf>
    <xf numFmtId="0" fontId="15" fillId="2" borderId="1" xfId="0" applyFont="1" applyFill="1" applyBorder="1" applyAlignment="1">
      <alignment horizontal="center" vertical="center" wrapText="1" readingOrder="1"/>
    </xf>
    <xf numFmtId="0" fontId="11" fillId="2" borderId="1" xfId="0" applyFont="1" applyFill="1" applyBorder="1" applyAlignment="1">
      <alignment horizontal="left" vertical="center" wrapText="1" indent="1" readingOrder="1"/>
    </xf>
    <xf numFmtId="0" fontId="11" fillId="2" borderId="1" xfId="0" applyFont="1" applyFill="1" applyBorder="1" applyAlignment="1">
      <alignment horizontal="center" vertical="center" wrapText="1" readingOrder="1"/>
    </xf>
    <xf numFmtId="4" fontId="11" fillId="2" borderId="1" xfId="0" applyNumberFormat="1" applyFont="1" applyFill="1" applyBorder="1" applyAlignment="1">
      <alignment horizontal="center" vertical="center" wrapText="1" readingOrder="1"/>
    </xf>
    <xf numFmtId="9" fontId="10" fillId="2" borderId="1" xfId="0" applyNumberFormat="1" applyFont="1" applyFill="1" applyBorder="1" applyAlignment="1">
      <alignment horizontal="center" vertical="center" wrapText="1" readingOrder="1"/>
    </xf>
    <xf numFmtId="3" fontId="10" fillId="2" borderId="12" xfId="0" applyNumberFormat="1" applyFont="1" applyFill="1" applyBorder="1" applyAlignment="1">
      <alignment horizontal="center" vertical="center" wrapText="1" readingOrder="1"/>
    </xf>
    <xf numFmtId="3" fontId="10" fillId="2" borderId="1" xfId="0" applyNumberFormat="1" applyFont="1" applyFill="1" applyBorder="1" applyAlignment="1">
      <alignment horizontal="center" vertical="center" wrapText="1" readingOrder="1"/>
    </xf>
    <xf numFmtId="0" fontId="11" fillId="2" borderId="1" xfId="0" applyFont="1" applyFill="1" applyBorder="1" applyAlignment="1">
      <alignment vertical="center" wrapText="1" readingOrder="1"/>
    </xf>
    <xf numFmtId="0" fontId="14" fillId="3" borderId="1" xfId="0" applyFont="1" applyFill="1" applyBorder="1" applyAlignment="1">
      <alignment horizontal="center" vertical="center" wrapText="1" readingOrder="1"/>
    </xf>
    <xf numFmtId="0" fontId="18" fillId="2"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readingOrder="1"/>
    </xf>
    <xf numFmtId="4" fontId="10" fillId="0" borderId="1" xfId="0" applyNumberFormat="1" applyFont="1" applyFill="1" applyBorder="1" applyAlignment="1">
      <alignment horizontal="center" vertical="center" wrapText="1" readingOrder="1"/>
    </xf>
    <xf numFmtId="0" fontId="10" fillId="0" borderId="1" xfId="0" applyFont="1" applyFill="1" applyBorder="1" applyAlignment="1">
      <alignment horizontal="left" vertical="center" wrapText="1" indent="1" readingOrder="1"/>
    </xf>
    <xf numFmtId="9" fontId="10" fillId="0" borderId="1" xfId="0" applyNumberFormat="1" applyFont="1" applyFill="1" applyBorder="1" applyAlignment="1">
      <alignment horizontal="center" vertical="center" wrapText="1" readingOrder="1"/>
    </xf>
    <xf numFmtId="0" fontId="17" fillId="3" borderId="1" xfId="0" applyFont="1" applyFill="1" applyBorder="1" applyAlignment="1">
      <alignment horizontal="center" vertical="center" wrapText="1"/>
    </xf>
    <xf numFmtId="1" fontId="17" fillId="3" borderId="8"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readingOrder="1"/>
    </xf>
    <xf numFmtId="0" fontId="16" fillId="0" borderId="1" xfId="0" applyFont="1" applyFill="1" applyBorder="1" applyAlignment="1">
      <alignment horizontal="center" vertical="center" wrapText="1" readingOrder="1"/>
    </xf>
    <xf numFmtId="0" fontId="16" fillId="0" borderId="12" xfId="0" applyFont="1" applyFill="1" applyBorder="1" applyAlignment="1">
      <alignment horizontal="center" vertical="center" wrapText="1" readingOrder="1"/>
    </xf>
    <xf numFmtId="0" fontId="10" fillId="0" borderId="12" xfId="0" applyFont="1" applyFill="1" applyBorder="1" applyAlignment="1">
      <alignment horizontal="left" vertical="center" wrapText="1" indent="1" readingOrder="1"/>
    </xf>
    <xf numFmtId="0" fontId="10" fillId="0" borderId="12" xfId="0" applyFont="1" applyFill="1" applyBorder="1" applyAlignment="1">
      <alignment horizontal="center" vertical="center" wrapText="1" readingOrder="1"/>
    </xf>
    <xf numFmtId="4" fontId="10" fillId="0" borderId="12" xfId="0" applyNumberFormat="1" applyFont="1" applyFill="1" applyBorder="1" applyAlignment="1">
      <alignment horizontal="center" vertical="center" wrapText="1" readingOrder="1"/>
    </xf>
    <xf numFmtId="9" fontId="10" fillId="0" borderId="12" xfId="0" applyNumberFormat="1" applyFont="1" applyFill="1" applyBorder="1" applyAlignment="1">
      <alignment horizontal="center" vertical="center" wrapText="1" readingOrder="1"/>
    </xf>
    <xf numFmtId="165" fontId="3" fillId="0" borderId="1" xfId="0" applyNumberFormat="1" applyFont="1" applyBorder="1" applyAlignment="1">
      <alignment horizontal="right" vertical="center" wrapText="1"/>
    </xf>
    <xf numFmtId="0" fontId="5" fillId="2" borderId="0" xfId="0" applyFont="1" applyFill="1" applyBorder="1" applyAlignment="1">
      <alignment horizontal="center"/>
    </xf>
    <xf numFmtId="0" fontId="6" fillId="3" borderId="6" xfId="0" applyFont="1" applyFill="1" applyBorder="1" applyAlignment="1">
      <alignment horizontal="center" vertical="center"/>
    </xf>
    <xf numFmtId="3" fontId="10" fillId="2" borderId="12" xfId="0" applyNumberFormat="1" applyFont="1" applyFill="1" applyBorder="1" applyAlignment="1">
      <alignment horizontal="center" vertical="center" wrapText="1" readingOrder="1"/>
    </xf>
    <xf numFmtId="0" fontId="15" fillId="2" borderId="1" xfId="0" applyFont="1" applyFill="1" applyBorder="1" applyAlignment="1">
      <alignment horizontal="center" vertical="center" wrapText="1" readingOrder="1"/>
    </xf>
    <xf numFmtId="0" fontId="11" fillId="2" borderId="1" xfId="0" applyFont="1" applyFill="1" applyBorder="1" applyAlignment="1">
      <alignment horizontal="center" vertical="center" wrapText="1" readingOrder="1"/>
    </xf>
    <xf numFmtId="4" fontId="11" fillId="2" borderId="1" xfId="0" applyNumberFormat="1" applyFont="1" applyFill="1" applyBorder="1" applyAlignment="1">
      <alignment horizontal="center" vertical="center" wrapText="1" readingOrder="1"/>
    </xf>
    <xf numFmtId="9" fontId="10" fillId="2" borderId="1" xfId="0" applyNumberFormat="1" applyFont="1" applyFill="1" applyBorder="1" applyAlignment="1">
      <alignment horizontal="center" vertical="center" wrapText="1" readingOrder="1"/>
    </xf>
    <xf numFmtId="0" fontId="11" fillId="2" borderId="1" xfId="0" applyFont="1" applyFill="1" applyBorder="1" applyAlignment="1">
      <alignment horizontal="left" vertical="center" wrapText="1" indent="1" readingOrder="1"/>
    </xf>
    <xf numFmtId="3" fontId="10" fillId="2" borderId="12" xfId="0" applyNumberFormat="1" applyFont="1" applyFill="1" applyBorder="1" applyAlignment="1">
      <alignment horizontal="center" vertical="center" wrapText="1" readingOrder="1"/>
    </xf>
    <xf numFmtId="0" fontId="4" fillId="2" borderId="0" xfId="0" applyFont="1" applyFill="1"/>
    <xf numFmtId="0" fontId="12"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21" fillId="3" borderId="12" xfId="0" applyFont="1" applyFill="1" applyBorder="1" applyAlignment="1">
      <alignment horizontal="center" vertical="center"/>
    </xf>
    <xf numFmtId="164" fontId="21" fillId="3" borderId="12" xfId="1" applyNumberFormat="1" applyFont="1" applyFill="1" applyBorder="1" applyAlignment="1">
      <alignment horizontal="center" vertical="center" wrapText="1"/>
    </xf>
    <xf numFmtId="0" fontId="21" fillId="3" borderId="12" xfId="0" applyFont="1" applyFill="1" applyBorder="1" applyAlignment="1">
      <alignment horizontal="center" vertical="center" wrapText="1"/>
    </xf>
    <xf numFmtId="3" fontId="21" fillId="3" borderId="17" xfId="1" applyNumberFormat="1" applyFont="1" applyFill="1" applyBorder="1" applyAlignment="1">
      <alignment horizontal="right" vertical="center" wrapText="1"/>
    </xf>
    <xf numFmtId="3" fontId="6" fillId="3" borderId="17" xfId="0" applyNumberFormat="1" applyFont="1" applyFill="1" applyBorder="1" applyAlignment="1">
      <alignment horizontal="right" vertical="center"/>
    </xf>
    <xf numFmtId="2" fontId="6" fillId="3" borderId="17" xfId="0" applyNumberFormat="1" applyFont="1" applyFill="1" applyBorder="1" applyAlignment="1">
      <alignment horizontal="center" vertical="center" wrapText="1"/>
    </xf>
    <xf numFmtId="2" fontId="6" fillId="3" borderId="18" xfId="0" applyNumberFormat="1" applyFont="1" applyFill="1" applyBorder="1" applyAlignment="1">
      <alignment horizontal="center" vertical="center" wrapText="1"/>
    </xf>
    <xf numFmtId="2" fontId="6" fillId="3" borderId="19" xfId="0" applyNumberFormat="1" applyFont="1" applyFill="1" applyBorder="1" applyAlignment="1">
      <alignment horizontal="center" vertical="center" wrapText="1"/>
    </xf>
    <xf numFmtId="0" fontId="4" fillId="2" borderId="2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3" fontId="9" fillId="2" borderId="1" xfId="1" applyNumberFormat="1" applyFont="1" applyFill="1" applyBorder="1" applyAlignment="1">
      <alignment vertical="center" wrapText="1"/>
    </xf>
    <xf numFmtId="3" fontId="10" fillId="2" borderId="1" xfId="0" applyNumberFormat="1" applyFont="1" applyFill="1" applyBorder="1" applyAlignment="1">
      <alignment horizontal="right" vertical="center" wrapText="1"/>
    </xf>
    <xf numFmtId="2"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10" fontId="23" fillId="2" borderId="1" xfId="0" applyNumberFormat="1" applyFont="1" applyFill="1" applyBorder="1" applyAlignment="1">
      <alignment horizontal="left" vertical="center" wrapText="1"/>
    </xf>
    <xf numFmtId="2" fontId="24" fillId="2" borderId="1" xfId="0" applyNumberFormat="1" applyFont="1" applyFill="1" applyBorder="1" applyAlignment="1">
      <alignment horizontal="left" vertical="center" wrapText="1"/>
    </xf>
    <xf numFmtId="3" fontId="21" fillId="3" borderId="22" xfId="1" applyNumberFormat="1" applyFont="1" applyFill="1" applyBorder="1" applyAlignment="1">
      <alignment horizontal="right" vertical="center" wrapText="1"/>
    </xf>
    <xf numFmtId="3" fontId="6" fillId="3" borderId="22" xfId="0" applyNumberFormat="1" applyFont="1" applyFill="1" applyBorder="1" applyAlignment="1">
      <alignment horizontal="right" vertical="center"/>
    </xf>
    <xf numFmtId="2" fontId="6" fillId="3" borderId="22" xfId="0" applyNumberFormat="1" applyFont="1" applyFill="1" applyBorder="1" applyAlignment="1">
      <alignment horizontal="center" vertical="center" wrapText="1"/>
    </xf>
    <xf numFmtId="2" fontId="6" fillId="3" borderId="23" xfId="0" applyNumberFormat="1" applyFont="1" applyFill="1" applyBorder="1" applyAlignment="1">
      <alignment horizontal="center" vertical="center" wrapText="1"/>
    </xf>
    <xf numFmtId="2" fontId="6" fillId="3" borderId="24" xfId="0" applyNumberFormat="1" applyFont="1" applyFill="1" applyBorder="1" applyAlignment="1">
      <alignment horizontal="center" vertical="center" wrapText="1"/>
    </xf>
    <xf numFmtId="0" fontId="0" fillId="2" borderId="20"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8" xfId="0" applyFont="1" applyFill="1" applyBorder="1" applyAlignment="1">
      <alignment horizontal="left" vertical="center" wrapText="1"/>
    </xf>
    <xf numFmtId="3" fontId="9" fillId="2" borderId="28" xfId="1" applyNumberFormat="1" applyFont="1" applyFill="1" applyBorder="1" applyAlignment="1">
      <alignment vertical="center" wrapText="1"/>
    </xf>
    <xf numFmtId="3" fontId="10" fillId="2" borderId="28" xfId="0" applyNumberFormat="1" applyFont="1" applyFill="1" applyBorder="1" applyAlignment="1">
      <alignment horizontal="right" vertical="center" wrapText="1"/>
    </xf>
    <xf numFmtId="2" fontId="11" fillId="2" borderId="28" xfId="0" applyNumberFormat="1" applyFont="1" applyFill="1" applyBorder="1" applyAlignment="1">
      <alignment horizontal="center" vertical="center" wrapText="1"/>
    </xf>
    <xf numFmtId="4" fontId="11" fillId="2" borderId="9" xfId="0" applyNumberFormat="1" applyFont="1" applyFill="1" applyBorder="1" applyAlignment="1">
      <alignment horizontal="center" vertical="center" wrapText="1"/>
    </xf>
    <xf numFmtId="2" fontId="24" fillId="2" borderId="28" xfId="0" applyNumberFormat="1" applyFont="1" applyFill="1" applyBorder="1" applyAlignment="1">
      <alignment horizontal="left" vertical="center" wrapText="1"/>
    </xf>
    <xf numFmtId="0" fontId="6"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Font="1" applyBorder="1"/>
    <xf numFmtId="4" fontId="9" fillId="2" borderId="1"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4" fontId="1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3" fontId="6" fillId="3" borderId="22" xfId="1" applyNumberFormat="1" applyFont="1" applyFill="1" applyBorder="1" applyAlignment="1">
      <alignment horizontal="right" vertical="center" wrapText="1"/>
    </xf>
    <xf numFmtId="2" fontId="23" fillId="2" borderId="1" xfId="0" applyNumberFormat="1" applyFont="1" applyFill="1" applyBorder="1" applyAlignment="1">
      <alignment horizontal="left" vertical="center" wrapText="1"/>
    </xf>
    <xf numFmtId="3" fontId="21" fillId="3" borderId="21" xfId="0" applyNumberFormat="1" applyFont="1" applyFill="1" applyBorder="1" applyAlignment="1">
      <alignment horizontal="center" vertical="center"/>
    </xf>
    <xf numFmtId="3" fontId="6" fillId="3" borderId="30" xfId="0" applyNumberFormat="1" applyFont="1" applyFill="1" applyBorder="1" applyAlignment="1">
      <alignment horizontal="center" vertical="center"/>
    </xf>
    <xf numFmtId="3" fontId="6" fillId="3" borderId="7" xfId="0" applyNumberFormat="1" applyFont="1" applyFill="1" applyBorder="1" applyAlignment="1">
      <alignment horizontal="right" vertical="center"/>
    </xf>
    <xf numFmtId="2" fontId="6" fillId="3" borderId="7" xfId="0" applyNumberFormat="1" applyFont="1" applyFill="1" applyBorder="1" applyAlignment="1">
      <alignment horizontal="center" vertical="center" wrapText="1"/>
    </xf>
    <xf numFmtId="3" fontId="10" fillId="2" borderId="1" xfId="0" applyNumberFormat="1" applyFont="1" applyFill="1" applyBorder="1" applyAlignment="1">
      <alignment horizontal="left" vertical="center" wrapText="1"/>
    </xf>
    <xf numFmtId="2" fontId="6" fillId="3" borderId="8" xfId="0" applyNumberFormat="1" applyFont="1" applyFill="1" applyBorder="1" applyAlignment="1">
      <alignment horizontal="center" vertical="center" wrapText="1"/>
    </xf>
    <xf numFmtId="2" fontId="6" fillId="3" borderId="31" xfId="0" applyNumberFormat="1" applyFont="1" applyFill="1" applyBorder="1" applyAlignment="1">
      <alignment horizontal="center" vertical="center" wrapText="1"/>
    </xf>
    <xf numFmtId="3" fontId="21" fillId="3" borderId="7" xfId="1" applyNumberFormat="1" applyFont="1" applyFill="1" applyBorder="1" applyAlignment="1">
      <alignment horizontal="right" vertical="center" wrapText="1"/>
    </xf>
    <xf numFmtId="2" fontId="6" fillId="3" borderId="6" xfId="0" applyNumberFormat="1" applyFont="1" applyFill="1" applyBorder="1" applyAlignment="1">
      <alignment horizontal="center" vertical="center" wrapText="1"/>
    </xf>
    <xf numFmtId="2" fontId="25" fillId="3" borderId="6" xfId="0" applyNumberFormat="1" applyFont="1" applyFill="1" applyBorder="1" applyAlignment="1">
      <alignment horizontal="center" vertical="center" wrapText="1"/>
    </xf>
    <xf numFmtId="0" fontId="0" fillId="2" borderId="32" xfId="0" applyFont="1" applyFill="1" applyBorder="1" applyAlignment="1">
      <alignment horizontal="center" vertical="center" wrapText="1"/>
    </xf>
    <xf numFmtId="0" fontId="2" fillId="2" borderId="33" xfId="0" applyFont="1" applyFill="1" applyBorder="1" applyAlignment="1">
      <alignment horizontal="center" vertical="center"/>
    </xf>
    <xf numFmtId="0" fontId="0"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5" xfId="0" applyFont="1" applyFill="1" applyBorder="1" applyAlignment="1">
      <alignment horizontal="left" vertical="center" wrapText="1"/>
    </xf>
    <xf numFmtId="3" fontId="9" fillId="2" borderId="35" xfId="1" applyNumberFormat="1" applyFont="1" applyFill="1" applyBorder="1" applyAlignment="1">
      <alignment vertical="center" wrapText="1"/>
    </xf>
    <xf numFmtId="3" fontId="10" fillId="2" borderId="35" xfId="0" applyNumberFormat="1" applyFont="1" applyFill="1" applyBorder="1" applyAlignment="1">
      <alignment horizontal="right" vertical="center" wrapText="1"/>
    </xf>
    <xf numFmtId="2" fontId="11" fillId="2" borderId="35" xfId="0" applyNumberFormat="1" applyFont="1" applyFill="1" applyBorder="1" applyAlignment="1">
      <alignment horizontal="center" vertical="center" wrapText="1"/>
    </xf>
    <xf numFmtId="2" fontId="24" fillId="2" borderId="35" xfId="0" applyNumberFormat="1" applyFont="1" applyFill="1" applyBorder="1" applyAlignment="1">
      <alignment horizontal="left" vertical="center" wrapText="1"/>
    </xf>
    <xf numFmtId="3" fontId="10" fillId="2" borderId="1" xfId="1" applyNumberFormat="1" applyFont="1" applyFill="1" applyBorder="1" applyAlignment="1">
      <alignment vertical="center" wrapText="1"/>
    </xf>
    <xf numFmtId="2" fontId="10" fillId="2" borderId="1" xfId="0" applyNumberFormat="1" applyFont="1" applyFill="1" applyBorder="1" applyAlignment="1">
      <alignment horizontal="center" vertical="center" wrapText="1"/>
    </xf>
    <xf numFmtId="0" fontId="0" fillId="2" borderId="36" xfId="0" applyFont="1" applyFill="1" applyBorder="1" applyAlignment="1">
      <alignment horizontal="center" vertical="center" wrapText="1"/>
    </xf>
    <xf numFmtId="0" fontId="21" fillId="3" borderId="6" xfId="0" applyFont="1" applyFill="1" applyBorder="1" applyAlignment="1">
      <alignment vertical="center"/>
    </xf>
    <xf numFmtId="0" fontId="26" fillId="4" borderId="33" xfId="0" applyFont="1" applyFill="1" applyBorder="1" applyAlignment="1">
      <alignment horizontal="center" vertical="center"/>
    </xf>
    <xf numFmtId="0" fontId="21" fillId="3" borderId="21" xfId="0" applyFont="1" applyFill="1" applyBorder="1" applyAlignment="1">
      <alignment horizontal="center" vertical="center"/>
    </xf>
    <xf numFmtId="0" fontId="2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readingOrder="1"/>
    </xf>
    <xf numFmtId="0" fontId="24" fillId="2" borderId="1" xfId="0" applyFont="1" applyFill="1" applyBorder="1" applyAlignment="1">
      <alignment horizontal="left" vertical="center" wrapText="1" indent="1" readingOrder="1"/>
    </xf>
    <xf numFmtId="0" fontId="19" fillId="2" borderId="1" xfId="0" applyFont="1" applyFill="1" applyBorder="1" applyAlignment="1">
      <alignment horizontal="left" vertical="center" wrapText="1" indent="1" readingOrder="1"/>
    </xf>
    <xf numFmtId="0" fontId="19" fillId="2" borderId="1" xfId="0" applyFont="1" applyFill="1" applyBorder="1" applyAlignment="1">
      <alignment horizontal="center" vertical="center" wrapText="1" readingOrder="1"/>
    </xf>
    <xf numFmtId="4" fontId="19" fillId="2" borderId="1" xfId="0" applyNumberFormat="1" applyFont="1" applyFill="1" applyBorder="1" applyAlignment="1">
      <alignment horizontal="center" vertical="center" wrapText="1" readingOrder="1"/>
    </xf>
    <xf numFmtId="9" fontId="29" fillId="2" borderId="1" xfId="0" applyNumberFormat="1" applyFont="1" applyFill="1" applyBorder="1" applyAlignment="1">
      <alignment horizontal="center" vertical="center" wrapText="1" readingOrder="1"/>
    </xf>
    <xf numFmtId="3" fontId="29" fillId="2" borderId="12" xfId="0" applyNumberFormat="1" applyFont="1" applyFill="1" applyBorder="1" applyAlignment="1">
      <alignment horizontal="center" vertical="center" wrapText="1" readingOrder="1"/>
    </xf>
    <xf numFmtId="4" fontId="21" fillId="3" borderId="21" xfId="0" applyNumberFormat="1" applyFont="1" applyFill="1" applyBorder="1" applyAlignment="1">
      <alignment horizontal="center" vertical="center"/>
    </xf>
    <xf numFmtId="4" fontId="11" fillId="2" borderId="9" xfId="0" applyNumberFormat="1" applyFont="1" applyFill="1" applyBorder="1" applyAlignment="1">
      <alignment horizontal="right" vertical="center" wrapText="1"/>
    </xf>
    <xf numFmtId="4" fontId="11" fillId="2" borderId="1" xfId="0" applyNumberFormat="1" applyFont="1" applyFill="1" applyBorder="1" applyAlignment="1">
      <alignment horizontal="right" vertical="center" wrapText="1"/>
    </xf>
    <xf numFmtId="164" fontId="5" fillId="2" borderId="0" xfId="1" applyNumberFormat="1" applyFont="1" applyFill="1" applyBorder="1" applyAlignment="1">
      <alignment horizontal="center"/>
    </xf>
    <xf numFmtId="3" fontId="7" fillId="2" borderId="2" xfId="1" applyNumberFormat="1" applyFont="1" applyFill="1" applyBorder="1" applyAlignment="1">
      <alignment horizontal="right" vertical="center" wrapText="1"/>
    </xf>
    <xf numFmtId="0" fontId="7" fillId="2" borderId="2" xfId="0"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10" fontId="23" fillId="2" borderId="1" xfId="0" applyNumberFormat="1" applyFont="1" applyFill="1" applyBorder="1" applyAlignment="1">
      <alignment horizontal="center" vertical="center" wrapText="1"/>
    </xf>
    <xf numFmtId="2" fontId="11" fillId="5"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indent="1" readingOrder="1"/>
    </xf>
    <xf numFmtId="0" fontId="29" fillId="0" borderId="1" xfId="0" applyFont="1" applyFill="1" applyBorder="1" applyAlignment="1">
      <alignment horizontal="justify" vertical="center" wrapText="1"/>
    </xf>
    <xf numFmtId="0" fontId="15" fillId="2" borderId="14" xfId="0" applyFont="1" applyFill="1" applyBorder="1" applyAlignment="1">
      <alignment horizontal="center" vertical="center" wrapText="1" readingOrder="1"/>
    </xf>
    <xf numFmtId="0" fontId="29" fillId="0" borderId="1" xfId="0" applyFont="1" applyFill="1" applyBorder="1" applyAlignment="1">
      <alignment horizontal="left" vertical="center" wrapText="1" readingOrder="1"/>
    </xf>
    <xf numFmtId="0" fontId="29" fillId="0" borderId="1" xfId="0" applyFont="1" applyFill="1" applyBorder="1" applyAlignment="1">
      <alignment horizontal="left" vertical="center" wrapText="1" indent="1" readingOrder="1"/>
    </xf>
    <xf numFmtId="0" fontId="23" fillId="2" borderId="1" xfId="0" applyFont="1" applyFill="1" applyBorder="1" applyAlignment="1">
      <alignment horizontal="justify" vertical="center" wrapText="1"/>
    </xf>
    <xf numFmtId="0" fontId="29" fillId="2" borderId="1" xfId="0" applyFont="1" applyFill="1" applyBorder="1" applyAlignment="1">
      <alignment horizontal="justify" vertical="center" wrapText="1"/>
    </xf>
    <xf numFmtId="0" fontId="0" fillId="2" borderId="0" xfId="0" applyFill="1"/>
    <xf numFmtId="2" fontId="19" fillId="2" borderId="1" xfId="0" applyNumberFormat="1" applyFont="1" applyFill="1" applyBorder="1" applyAlignment="1">
      <alignment horizontal="center" vertical="center" wrapText="1"/>
    </xf>
    <xf numFmtId="10" fontId="29" fillId="2" borderId="1" xfId="0" applyNumberFormat="1" applyFont="1" applyFill="1" applyBorder="1" applyAlignment="1">
      <alignment horizontal="center" vertical="center" wrapText="1"/>
    </xf>
    <xf numFmtId="3" fontId="10" fillId="2" borderId="28" xfId="0" applyNumberFormat="1" applyFont="1" applyFill="1" applyBorder="1" applyAlignment="1">
      <alignment horizontal="center" vertical="center" wrapText="1"/>
    </xf>
    <xf numFmtId="0" fontId="0" fillId="0" borderId="0" xfId="0" applyAlignment="1">
      <alignment horizontal="center"/>
    </xf>
    <xf numFmtId="3" fontId="10" fillId="2" borderId="1" xfId="0" applyNumberFormat="1" applyFont="1" applyFill="1" applyBorder="1" applyAlignment="1">
      <alignment horizontal="center" vertical="center" wrapText="1"/>
    </xf>
    <xf numFmtId="0" fontId="16" fillId="6" borderId="2" xfId="0" applyFont="1" applyFill="1" applyBorder="1" applyAlignment="1">
      <alignment horizontal="center" vertical="center" wrapText="1"/>
    </xf>
    <xf numFmtId="3" fontId="16" fillId="6" borderId="1" xfId="1" applyNumberFormat="1" applyFont="1" applyFill="1" applyBorder="1" applyAlignment="1">
      <alignment horizontal="right" vertical="center" wrapText="1"/>
    </xf>
    <xf numFmtId="0" fontId="22" fillId="6" borderId="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16" fillId="6" borderId="5" xfId="0" applyFont="1" applyFill="1" applyBorder="1" applyAlignment="1">
      <alignment horizontal="center" vertical="center" wrapText="1"/>
    </xf>
    <xf numFmtId="4" fontId="16" fillId="6" borderId="0" xfId="0" applyNumberFormat="1" applyFont="1" applyFill="1" applyBorder="1" applyAlignment="1">
      <alignment horizontal="center" vertical="center" wrapText="1" readingOrder="1"/>
    </xf>
    <xf numFmtId="0" fontId="16" fillId="6" borderId="0" xfId="0" applyFont="1" applyFill="1" applyBorder="1" applyAlignment="1">
      <alignment horizontal="center" vertical="center" wrapText="1" readingOrder="1"/>
    </xf>
    <xf numFmtId="0" fontId="3" fillId="0" borderId="0" xfId="0" applyFont="1" applyAlignment="1"/>
    <xf numFmtId="0" fontId="23" fillId="3" borderId="11" xfId="0" applyFont="1" applyFill="1" applyBorder="1" applyAlignment="1">
      <alignment horizontal="center" vertical="center" wrapText="1"/>
    </xf>
    <xf numFmtId="0" fontId="33" fillId="3" borderId="11" xfId="0" applyFont="1" applyFill="1" applyBorder="1" applyAlignment="1">
      <alignment horizontal="center" vertical="center" wrapText="1" readingOrder="1"/>
    </xf>
    <xf numFmtId="0" fontId="23" fillId="6" borderId="5" xfId="0" applyFont="1" applyFill="1" applyBorder="1" applyAlignment="1">
      <alignment vertical="center" wrapText="1"/>
    </xf>
    <xf numFmtId="0" fontId="34" fillId="3" borderId="21" xfId="0" applyFont="1" applyFill="1" applyBorder="1" applyAlignment="1">
      <alignment horizontal="center" vertical="center"/>
    </xf>
    <xf numFmtId="4" fontId="34" fillId="3" borderId="21" xfId="0" applyNumberFormat="1" applyFont="1" applyFill="1" applyBorder="1" applyAlignment="1">
      <alignment horizontal="center" vertical="center"/>
    </xf>
    <xf numFmtId="3" fontId="34" fillId="3" borderId="22" xfId="1" applyNumberFormat="1" applyFont="1" applyFill="1" applyBorder="1" applyAlignment="1">
      <alignment horizontal="right" vertical="center" wrapText="1"/>
    </xf>
    <xf numFmtId="9" fontId="23" fillId="3" borderId="22" xfId="0" applyNumberFormat="1" applyFont="1" applyFill="1" applyBorder="1" applyAlignment="1">
      <alignment horizontal="center" vertical="center" wrapText="1" readingOrder="1"/>
    </xf>
    <xf numFmtId="2" fontId="34" fillId="3" borderId="23"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readingOrder="1"/>
    </xf>
    <xf numFmtId="0" fontId="23" fillId="0" borderId="1" xfId="0" applyFont="1" applyFill="1" applyBorder="1" applyAlignment="1">
      <alignment horizontal="center" vertical="center" wrapText="1" readingOrder="1"/>
    </xf>
    <xf numFmtId="4" fontId="23" fillId="0" borderId="1" xfId="0" applyNumberFormat="1" applyFont="1" applyFill="1" applyBorder="1" applyAlignment="1">
      <alignment horizontal="center" vertical="center" wrapText="1" readingOrder="1"/>
    </xf>
    <xf numFmtId="9" fontId="23" fillId="0" borderId="1" xfId="0" applyNumberFormat="1" applyFont="1" applyFill="1" applyBorder="1" applyAlignment="1">
      <alignment horizontal="center" vertical="center" wrapText="1" readingOrder="1"/>
    </xf>
    <xf numFmtId="3" fontId="34" fillId="3" borderId="22" xfId="0" applyNumberFormat="1" applyFont="1" applyFill="1" applyBorder="1" applyAlignment="1">
      <alignment horizontal="right" vertical="center"/>
    </xf>
    <xf numFmtId="0" fontId="32" fillId="2" borderId="1" xfId="0" applyFont="1" applyFill="1" applyBorder="1" applyAlignment="1">
      <alignment horizontal="justify" vertical="center" wrapText="1"/>
    </xf>
    <xf numFmtId="0" fontId="23" fillId="0" borderId="12" xfId="0" applyFont="1" applyFill="1" applyBorder="1" applyAlignment="1">
      <alignment horizontal="center" vertical="center" wrapText="1" readingOrder="1"/>
    </xf>
    <xf numFmtId="4" fontId="23" fillId="0" borderId="12" xfId="0" applyNumberFormat="1" applyFont="1" applyFill="1" applyBorder="1" applyAlignment="1">
      <alignment horizontal="center" vertical="center" wrapText="1" readingOrder="1"/>
    </xf>
    <xf numFmtId="0" fontId="31" fillId="0" borderId="1" xfId="0" applyFont="1" applyFill="1" applyBorder="1" applyAlignment="1">
      <alignment horizontal="center" vertical="center" wrapText="1" readingOrder="1"/>
    </xf>
    <xf numFmtId="0" fontId="29" fillId="0" borderId="1" xfId="0" applyFont="1" applyFill="1" applyBorder="1" applyAlignment="1">
      <alignment horizontal="center" vertical="center" wrapText="1" readingOrder="1"/>
    </xf>
    <xf numFmtId="4" fontId="29" fillId="0" borderId="1" xfId="0" applyNumberFormat="1" applyFont="1" applyFill="1" applyBorder="1" applyAlignment="1">
      <alignment horizontal="center" vertical="center" wrapText="1" readingOrder="1"/>
    </xf>
    <xf numFmtId="9" fontId="29" fillId="0" borderId="1" xfId="0" applyNumberFormat="1" applyFont="1" applyFill="1" applyBorder="1" applyAlignment="1">
      <alignment horizontal="center" vertical="center" wrapText="1" readingOrder="1"/>
    </xf>
    <xf numFmtId="0" fontId="35" fillId="2" borderId="1" xfId="0" applyFont="1" applyFill="1" applyBorder="1" applyAlignment="1">
      <alignment horizontal="center" vertical="center" wrapText="1" readingOrder="1"/>
    </xf>
    <xf numFmtId="0" fontId="31" fillId="0" borderId="12" xfId="0" applyFont="1" applyFill="1" applyBorder="1" applyAlignment="1">
      <alignment horizontal="center" vertical="center" wrapText="1" readingOrder="1"/>
    </xf>
    <xf numFmtId="0" fontId="31" fillId="6" borderId="5" xfId="0" applyFont="1" applyFill="1" applyBorder="1" applyAlignment="1">
      <alignment horizontal="center" vertical="center" wrapText="1"/>
    </xf>
    <xf numFmtId="0" fontId="29" fillId="6" borderId="5" xfId="0" applyFont="1" applyFill="1" applyBorder="1" applyAlignment="1">
      <alignment vertical="center" wrapText="1"/>
    </xf>
    <xf numFmtId="4" fontId="31" fillId="6" borderId="5" xfId="0" applyNumberFormat="1" applyFont="1" applyFill="1" applyBorder="1" applyAlignment="1">
      <alignment horizontal="center" vertical="center" wrapText="1"/>
    </xf>
    <xf numFmtId="2" fontId="24" fillId="2" borderId="1" xfId="0" applyNumberFormat="1" applyFont="1" applyFill="1" applyBorder="1" applyAlignment="1">
      <alignment horizontal="left" vertical="center" wrapText="1"/>
    </xf>
    <xf numFmtId="3" fontId="37" fillId="6" borderId="2" xfId="1" applyNumberFormat="1" applyFont="1" applyFill="1" applyBorder="1" applyAlignment="1">
      <alignment horizontal="right" vertical="center" wrapText="1"/>
    </xf>
    <xf numFmtId="0" fontId="21" fillId="3" borderId="3" xfId="0" applyFont="1" applyFill="1" applyBorder="1" applyAlignment="1">
      <alignment horizontal="center" vertical="center"/>
    </xf>
    <xf numFmtId="0" fontId="21" fillId="3" borderId="3" xfId="0" applyFont="1" applyFill="1" applyBorder="1" applyAlignment="1">
      <alignment horizontal="center" vertical="center" wrapText="1"/>
    </xf>
    <xf numFmtId="164" fontId="21" fillId="3" borderId="3" xfId="1" applyNumberFormat="1" applyFont="1" applyFill="1" applyBorder="1" applyAlignment="1">
      <alignment horizontal="center" vertical="center" wrapText="1"/>
    </xf>
    <xf numFmtId="3" fontId="16" fillId="6" borderId="15" xfId="1" applyNumberFormat="1" applyFont="1" applyFill="1" applyBorder="1" applyAlignment="1">
      <alignment horizontal="right" vertical="center" wrapText="1"/>
    </xf>
    <xf numFmtId="3" fontId="21" fillId="3" borderId="18" xfId="1" applyNumberFormat="1" applyFont="1" applyFill="1" applyBorder="1" applyAlignment="1">
      <alignment horizontal="right" vertical="center" wrapText="1"/>
    </xf>
    <xf numFmtId="4" fontId="11" fillId="2" borderId="0" xfId="0" applyNumberFormat="1" applyFont="1" applyFill="1" applyBorder="1" applyAlignment="1">
      <alignment horizontal="right" vertical="center" wrapText="1"/>
    </xf>
    <xf numFmtId="3" fontId="21" fillId="3" borderId="23" xfId="1" applyNumberFormat="1" applyFont="1" applyFill="1" applyBorder="1" applyAlignment="1">
      <alignment horizontal="right" vertical="center" wrapText="1"/>
    </xf>
    <xf numFmtId="3" fontId="6" fillId="3" borderId="23" xfId="1" applyNumberFormat="1" applyFont="1" applyFill="1" applyBorder="1" applyAlignment="1">
      <alignment horizontal="right" vertical="center" wrapText="1"/>
    </xf>
    <xf numFmtId="3" fontId="6" fillId="3" borderId="6" xfId="0" applyNumberFormat="1" applyFont="1" applyFill="1" applyBorder="1" applyAlignment="1">
      <alignment horizontal="right" vertical="center"/>
    </xf>
    <xf numFmtId="3" fontId="21" fillId="3" borderId="8" xfId="1" applyNumberFormat="1" applyFont="1" applyFill="1" applyBorder="1" applyAlignment="1">
      <alignment horizontal="right" vertical="center" wrapText="1"/>
    </xf>
    <xf numFmtId="4" fontId="24" fillId="2"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5" fillId="3" borderId="14" xfId="0" applyFont="1" applyFill="1" applyBorder="1" applyAlignment="1">
      <alignment horizontal="center" vertical="center" wrapText="1" readingOrder="1"/>
    </xf>
    <xf numFmtId="0" fontId="16" fillId="0" borderId="14" xfId="0" applyFont="1" applyFill="1" applyBorder="1" applyAlignment="1">
      <alignment horizontal="center" vertical="center" wrapText="1" readingOrder="1"/>
    </xf>
    <xf numFmtId="0" fontId="10" fillId="2" borderId="1" xfId="0" applyFont="1" applyFill="1" applyBorder="1" applyAlignment="1">
      <alignment horizontal="center" vertical="center" wrapText="1"/>
    </xf>
    <xf numFmtId="2" fontId="24" fillId="2" borderId="1" xfId="0" applyNumberFormat="1" applyFont="1" applyFill="1" applyBorder="1" applyAlignment="1">
      <alignment horizontal="left" vertical="center" wrapText="1"/>
    </xf>
    <xf numFmtId="0" fontId="18" fillId="2" borderId="0" xfId="0" applyFont="1" applyFill="1" applyBorder="1" applyAlignment="1">
      <alignment horizontal="center" vertical="center"/>
    </xf>
    <xf numFmtId="3" fontId="10" fillId="2" borderId="12" xfId="0" applyNumberFormat="1" applyFont="1" applyFill="1" applyBorder="1" applyAlignment="1">
      <alignment horizontal="center" vertical="center" wrapText="1" readingOrder="1"/>
    </xf>
    <xf numFmtId="3" fontId="10" fillId="2" borderId="9" xfId="0" applyNumberFormat="1" applyFont="1" applyFill="1" applyBorder="1" applyAlignment="1">
      <alignment horizontal="center" vertical="center" wrapText="1" readingOrder="1"/>
    </xf>
    <xf numFmtId="3" fontId="23" fillId="2" borderId="12" xfId="0" applyNumberFormat="1" applyFont="1" applyFill="1" applyBorder="1" applyAlignment="1">
      <alignment horizontal="left" vertical="center" wrapText="1" readingOrder="1"/>
    </xf>
    <xf numFmtId="0" fontId="24" fillId="2" borderId="1" xfId="0" applyFont="1" applyFill="1" applyBorder="1" applyAlignment="1">
      <alignment horizontal="left" vertical="center" wrapText="1" readingOrder="1"/>
    </xf>
    <xf numFmtId="0" fontId="23" fillId="0" borderId="1" xfId="0" applyFont="1" applyFill="1" applyBorder="1" applyAlignment="1">
      <alignment vertical="center" wrapText="1" readingOrder="1"/>
    </xf>
    <xf numFmtId="3" fontId="32" fillId="2" borderId="1" xfId="1" applyNumberFormat="1" applyFont="1" applyFill="1" applyBorder="1" applyAlignment="1">
      <alignment vertical="center" wrapText="1"/>
    </xf>
    <xf numFmtId="3" fontId="6" fillId="3" borderId="22" xfId="0" applyNumberFormat="1" applyFont="1" applyFill="1" applyBorder="1" applyAlignment="1">
      <alignment horizontal="center" vertical="center"/>
    </xf>
    <xf numFmtId="3" fontId="32" fillId="2" borderId="21" xfId="1" applyNumberFormat="1" applyFont="1" applyFill="1" applyBorder="1" applyAlignment="1">
      <alignment vertical="center" wrapText="1"/>
    </xf>
    <xf numFmtId="0" fontId="31" fillId="0" borderId="38" xfId="0" applyFont="1" applyFill="1" applyBorder="1" applyAlignment="1">
      <alignment horizontal="center" vertical="center" wrapText="1" readingOrder="1"/>
    </xf>
    <xf numFmtId="0" fontId="29" fillId="3" borderId="11" xfId="0" applyFont="1" applyFill="1" applyBorder="1" applyAlignment="1">
      <alignment horizontal="center" vertical="center" wrapText="1"/>
    </xf>
    <xf numFmtId="0" fontId="41" fillId="3" borderId="11" xfId="0" applyFont="1" applyFill="1" applyBorder="1" applyAlignment="1">
      <alignment horizontal="center" vertical="center" wrapText="1" readingOrder="1"/>
    </xf>
    <xf numFmtId="3" fontId="13" fillId="3" borderId="7" xfId="1" applyNumberFormat="1" applyFont="1" applyFill="1" applyBorder="1" applyAlignment="1">
      <alignment horizontal="right" vertical="center" wrapText="1"/>
    </xf>
    <xf numFmtId="3" fontId="13" fillId="3" borderId="7" xfId="0" applyNumberFormat="1" applyFont="1" applyFill="1" applyBorder="1" applyAlignment="1">
      <alignment horizontal="center" vertical="center"/>
    </xf>
    <xf numFmtId="2" fontId="13" fillId="3" borderId="7" xfId="0" applyNumberFormat="1" applyFont="1" applyFill="1" applyBorder="1" applyAlignment="1">
      <alignment horizontal="center" vertical="center" wrapText="1"/>
    </xf>
    <xf numFmtId="2" fontId="13" fillId="3" borderId="8" xfId="0" applyNumberFormat="1" applyFont="1" applyFill="1" applyBorder="1" applyAlignment="1">
      <alignment horizontal="center" vertical="center" wrapText="1"/>
    </xf>
    <xf numFmtId="0" fontId="29" fillId="0" borderId="1" xfId="0" applyFont="1" applyBorder="1" applyAlignment="1">
      <alignment horizontal="justify" vertical="center" wrapText="1"/>
    </xf>
    <xf numFmtId="0" fontId="3" fillId="0" borderId="1" xfId="0" applyFont="1" applyBorder="1" applyAlignment="1">
      <alignment horizontal="left" vertical="center" wrapText="1"/>
    </xf>
    <xf numFmtId="0" fontId="27" fillId="7" borderId="0" xfId="0" applyFont="1" applyFill="1" applyAlignment="1">
      <alignment horizontal="center"/>
    </xf>
    <xf numFmtId="0" fontId="3" fillId="0" borderId="0" xfId="0" applyFont="1" applyFill="1" applyAlignment="1">
      <alignment horizontal="left"/>
    </xf>
    <xf numFmtId="3" fontId="3" fillId="0" borderId="0" xfId="0" applyNumberFormat="1" applyFont="1"/>
    <xf numFmtId="4" fontId="3" fillId="0" borderId="0" xfId="0" applyNumberFormat="1" applyFont="1"/>
    <xf numFmtId="0" fontId="32" fillId="0" borderId="0" xfId="0" applyFont="1"/>
    <xf numFmtId="0" fontId="27" fillId="8" borderId="0" xfId="0" applyFont="1" applyFill="1" applyAlignment="1">
      <alignment horizontal="center"/>
    </xf>
    <xf numFmtId="3" fontId="27" fillId="8" borderId="0" xfId="0" applyNumberFormat="1"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Fill="1" applyAlignment="1">
      <alignment horizontal="left" wrapText="1"/>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9" fillId="2" borderId="1" xfId="0"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3" fontId="3" fillId="0" borderId="1" xfId="0" applyNumberFormat="1" applyFont="1" applyBorder="1" applyAlignment="1">
      <alignment horizontal="right" vertical="center" wrapText="1"/>
    </xf>
    <xf numFmtId="3" fontId="3" fillId="0" borderId="1" xfId="0" applyNumberFormat="1" applyFont="1" applyBorder="1" applyAlignment="1">
      <alignment horizontal="left" vertical="center" wrapText="1"/>
    </xf>
    <xf numFmtId="3" fontId="6" fillId="3" borderId="1" xfId="1" applyNumberFormat="1" applyFont="1" applyFill="1" applyBorder="1" applyAlignment="1">
      <alignment horizontal="right" vertical="center" wrapText="1"/>
    </xf>
    <xf numFmtId="1" fontId="17"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12" fillId="0" borderId="0" xfId="0" applyFont="1" applyAlignment="1">
      <alignment horizontal="center"/>
    </xf>
    <xf numFmtId="0" fontId="14" fillId="9" borderId="39" xfId="0" applyFont="1" applyFill="1" applyBorder="1" applyAlignment="1">
      <alignment horizontal="center" vertical="center" wrapText="1"/>
    </xf>
    <xf numFmtId="0" fontId="14" fillId="9" borderId="39" xfId="0" applyFont="1" applyFill="1" applyBorder="1" applyAlignment="1">
      <alignment horizontal="center" vertical="center" wrapText="1" readingOrder="1"/>
    </xf>
    <xf numFmtId="0" fontId="14" fillId="10" borderId="0" xfId="0" applyFont="1" applyFill="1" applyBorder="1" applyAlignment="1">
      <alignment horizontal="center" vertical="center" wrapText="1"/>
    </xf>
    <xf numFmtId="0" fontId="43" fillId="10" borderId="39" xfId="0" applyFont="1" applyFill="1" applyBorder="1" applyAlignment="1">
      <alignment horizontal="center" vertical="center" wrapText="1" readingOrder="1"/>
    </xf>
    <xf numFmtId="0" fontId="14" fillId="10" borderId="39" xfId="0" applyFont="1" applyFill="1" applyBorder="1" applyAlignment="1">
      <alignment horizontal="center" vertical="center" wrapText="1" readingOrder="1"/>
    </xf>
    <xf numFmtId="4" fontId="14" fillId="10" borderId="39" xfId="0" applyNumberFormat="1" applyFont="1" applyFill="1" applyBorder="1" applyAlignment="1">
      <alignment horizontal="center" vertical="center" wrapText="1" readingOrder="1"/>
    </xf>
    <xf numFmtId="3" fontId="2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readingOrder="1"/>
    </xf>
    <xf numFmtId="0" fontId="29" fillId="0" borderId="1" xfId="0" applyFont="1" applyFill="1" applyBorder="1" applyAlignment="1">
      <alignment horizontal="left" vertical="center" wrapText="1"/>
    </xf>
    <xf numFmtId="17" fontId="0" fillId="0" borderId="0" xfId="0" applyNumberFormat="1"/>
    <xf numFmtId="0" fontId="3"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0" fillId="0" borderId="0" xfId="0" applyFill="1"/>
    <xf numFmtId="0" fontId="14" fillId="10" borderId="1" xfId="0" applyFont="1" applyFill="1" applyBorder="1" applyAlignment="1">
      <alignment horizontal="center" vertical="center" wrapText="1"/>
    </xf>
    <xf numFmtId="0" fontId="43" fillId="10" borderId="1" xfId="0" applyFont="1" applyFill="1" applyBorder="1" applyAlignment="1">
      <alignment horizontal="center" vertical="center" wrapText="1" readingOrder="1"/>
    </xf>
    <xf numFmtId="0" fontId="14" fillId="10" borderId="1" xfId="0" applyFont="1" applyFill="1" applyBorder="1" applyAlignment="1">
      <alignment horizontal="center" vertical="center" wrapText="1" readingOrder="1"/>
    </xf>
    <xf numFmtId="4" fontId="44" fillId="10" borderId="1" xfId="0" applyNumberFormat="1" applyFont="1" applyFill="1" applyBorder="1" applyAlignment="1">
      <alignment horizontal="center" vertical="center" wrapText="1" readingOrder="1"/>
    </xf>
    <xf numFmtId="0" fontId="47" fillId="0" borderId="0" xfId="0" applyFont="1"/>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49" fillId="0" borderId="1" xfId="0" applyFont="1" applyBorder="1" applyAlignment="1">
      <alignment horizontal="left" vertical="center"/>
    </xf>
    <xf numFmtId="0" fontId="49" fillId="0" borderId="1" xfId="0" applyFont="1" applyBorder="1" applyAlignment="1">
      <alignment horizontal="center"/>
    </xf>
    <xf numFmtId="4" fontId="49" fillId="0" borderId="1" xfId="0" applyNumberFormat="1" applyFont="1" applyBorder="1" applyAlignment="1">
      <alignment horizontal="right"/>
    </xf>
    <xf numFmtId="0" fontId="50" fillId="0" borderId="1" xfId="0" applyFont="1" applyBorder="1" applyAlignment="1">
      <alignment horizontal="center" vertical="center"/>
    </xf>
    <xf numFmtId="0" fontId="51" fillId="2" borderId="1" xfId="0" applyFont="1" applyFill="1" applyBorder="1" applyAlignment="1">
      <alignment vertical="center" wrapText="1"/>
    </xf>
    <xf numFmtId="0" fontId="49" fillId="0" borderId="1" xfId="0" applyFont="1" applyBorder="1" applyAlignment="1">
      <alignment horizontal="left"/>
    </xf>
    <xf numFmtId="0" fontId="50" fillId="0" borderId="1" xfId="0" applyFont="1" applyBorder="1" applyAlignment="1">
      <alignment horizontal="center"/>
    </xf>
    <xf numFmtId="0" fontId="51" fillId="0" borderId="1" xfId="0" applyFont="1" applyBorder="1"/>
    <xf numFmtId="0" fontId="51" fillId="12" borderId="1" xfId="0" applyFont="1" applyFill="1" applyBorder="1" applyAlignment="1">
      <alignment vertical="center" wrapText="1"/>
    </xf>
    <xf numFmtId="0" fontId="50" fillId="0" borderId="14" xfId="0" applyFont="1" applyBorder="1" applyAlignment="1">
      <alignment horizontal="center"/>
    </xf>
    <xf numFmtId="4" fontId="47" fillId="0" borderId="0" xfId="0" applyNumberFormat="1" applyFont="1"/>
    <xf numFmtId="0" fontId="50" fillId="0" borderId="0" xfId="0" applyFont="1" applyAlignment="1">
      <alignment horizontal="center"/>
    </xf>
    <xf numFmtId="0" fontId="51" fillId="12" borderId="0" xfId="0" applyFont="1" applyFill="1"/>
    <xf numFmtId="0" fontId="52" fillId="0" borderId="1" xfId="0" applyFont="1" applyBorder="1"/>
    <xf numFmtId="0" fontId="49" fillId="0" borderId="1" xfId="0" applyFont="1" applyBorder="1"/>
    <xf numFmtId="4" fontId="49" fillId="0" borderId="1" xfId="0" applyNumberFormat="1" applyFont="1" applyBorder="1"/>
    <xf numFmtId="0" fontId="50" fillId="2" borderId="1" xfId="0" applyFont="1" applyFill="1" applyBorder="1" applyAlignment="1">
      <alignment horizontal="center" vertical="center"/>
    </xf>
    <xf numFmtId="0" fontId="51" fillId="12" borderId="1" xfId="0" applyFont="1" applyFill="1" applyBorder="1"/>
    <xf numFmtId="1" fontId="50" fillId="0" borderId="1" xfId="0" applyNumberFormat="1" applyFont="1" applyBorder="1" applyAlignment="1">
      <alignment horizontal="center"/>
    </xf>
    <xf numFmtId="0" fontId="49" fillId="0" borderId="12" xfId="0" applyFont="1" applyBorder="1"/>
    <xf numFmtId="0" fontId="49" fillId="0" borderId="12" xfId="0" applyFont="1" applyBorder="1" applyAlignment="1">
      <alignment horizontal="center"/>
    </xf>
    <xf numFmtId="4" fontId="49" fillId="0" borderId="12" xfId="0" applyNumberFormat="1" applyFont="1" applyBorder="1"/>
    <xf numFmtId="0" fontId="50" fillId="0" borderId="40" xfId="0" applyFont="1" applyBorder="1" applyAlignment="1">
      <alignment horizontal="center" vertical="center"/>
    </xf>
    <xf numFmtId="0" fontId="47" fillId="0" borderId="0" xfId="0" applyFont="1" applyAlignment="1">
      <alignment wrapText="1"/>
    </xf>
    <xf numFmtId="4" fontId="47" fillId="0" borderId="0" xfId="0" applyNumberFormat="1" applyFont="1" applyAlignment="1">
      <alignment vertical="center"/>
    </xf>
    <xf numFmtId="4" fontId="47" fillId="0" borderId="0" xfId="0" applyNumberFormat="1" applyFont="1" applyAlignment="1">
      <alignment vertical="center" wrapText="1"/>
    </xf>
    <xf numFmtId="4" fontId="0" fillId="0" borderId="0" xfId="0" applyNumberFormat="1"/>
    <xf numFmtId="3" fontId="0" fillId="0" borderId="0" xfId="0" applyNumberFormat="1"/>
    <xf numFmtId="0" fontId="18" fillId="2" borderId="0" xfId="0" applyFont="1" applyFill="1" applyBorder="1" applyAlignment="1">
      <alignment horizontal="center" vertical="center"/>
    </xf>
    <xf numFmtId="0" fontId="9" fillId="2" borderId="1" xfId="0" applyFont="1" applyFill="1" applyBorder="1" applyAlignment="1">
      <alignment horizontal="center" vertical="center" wrapText="1"/>
    </xf>
    <xf numFmtId="3" fontId="10" fillId="2" borderId="12" xfId="0" applyNumberFormat="1" applyFont="1" applyFill="1" applyBorder="1" applyAlignment="1">
      <alignment horizontal="center" vertical="center" wrapText="1" readingOrder="1"/>
    </xf>
    <xf numFmtId="3" fontId="10" fillId="2" borderId="9" xfId="0" applyNumberFormat="1" applyFont="1" applyFill="1" applyBorder="1" applyAlignment="1">
      <alignment horizontal="center" vertical="center" wrapText="1" readingOrder="1"/>
    </xf>
    <xf numFmtId="4" fontId="11" fillId="2" borderId="0" xfId="0" applyNumberFormat="1" applyFont="1" applyFill="1" applyBorder="1" applyAlignment="1">
      <alignment horizontal="center" vertical="center" wrapText="1"/>
    </xf>
    <xf numFmtId="0" fontId="53" fillId="2" borderId="1" xfId="0" applyFont="1" applyFill="1" applyBorder="1" applyAlignment="1">
      <alignment horizontal="center" vertical="center" wrapText="1"/>
    </xf>
    <xf numFmtId="4" fontId="11" fillId="2" borderId="1" xfId="0" applyNumberFormat="1"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3" fontId="23" fillId="12" borderId="12" xfId="0" applyNumberFormat="1" applyFont="1" applyFill="1" applyBorder="1" applyAlignment="1">
      <alignment horizontal="left" vertical="center" wrapText="1" readingOrder="1"/>
    </xf>
    <xf numFmtId="2" fontId="24" fillId="12" borderId="1" xfId="0" applyNumberFormat="1" applyFont="1" applyFill="1" applyBorder="1" applyAlignment="1">
      <alignment horizontal="left" vertical="center" wrapText="1"/>
    </xf>
    <xf numFmtId="3" fontId="6" fillId="3" borderId="21" xfId="0" applyNumberFormat="1" applyFont="1" applyFill="1" applyBorder="1" applyAlignment="1">
      <alignment horizontal="right" vertical="center"/>
    </xf>
    <xf numFmtId="4" fontId="10" fillId="0" borderId="21" xfId="0" applyNumberFormat="1" applyFont="1" applyFill="1" applyBorder="1" applyAlignment="1">
      <alignment horizontal="center" vertical="center" wrapText="1" readingOrder="1"/>
    </xf>
    <xf numFmtId="14" fontId="3" fillId="2" borderId="1" xfId="0" applyNumberFormat="1" applyFont="1" applyFill="1" applyBorder="1" applyAlignment="1">
      <alignment horizontal="center" vertical="center" wrapText="1"/>
    </xf>
    <xf numFmtId="4" fontId="32" fillId="2" borderId="1" xfId="0" applyNumberFormat="1" applyFont="1" applyFill="1" applyBorder="1" applyAlignment="1">
      <alignment horizontal="center" vertical="center" wrapText="1"/>
    </xf>
    <xf numFmtId="14" fontId="32" fillId="2" borderId="1" xfId="0" applyNumberFormat="1"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14" fontId="53" fillId="2" borderId="1" xfId="0" applyNumberFormat="1" applyFont="1" applyFill="1" applyBorder="1" applyAlignment="1">
      <alignment horizontal="center" vertical="center" wrapText="1"/>
    </xf>
    <xf numFmtId="0" fontId="13" fillId="3" borderId="0" xfId="0" applyFont="1" applyFill="1" applyAlignment="1">
      <alignment horizontal="center"/>
    </xf>
    <xf numFmtId="0" fontId="18" fillId="2" borderId="0" xfId="0" applyFont="1" applyFill="1" applyBorder="1" applyAlignment="1">
      <alignment horizontal="center" vertical="center" wrapText="1"/>
    </xf>
    <xf numFmtId="0" fontId="18" fillId="0" borderId="0" xfId="0" applyFont="1" applyAlignment="1">
      <alignment wrapText="1"/>
    </xf>
    <xf numFmtId="0" fontId="18" fillId="2" borderId="0" xfId="0" applyFont="1" applyFill="1" applyBorder="1" applyAlignment="1">
      <alignment horizontal="center"/>
    </xf>
    <xf numFmtId="0" fontId="6" fillId="3" borderId="1" xfId="0" applyFont="1" applyFill="1" applyBorder="1" applyAlignment="1">
      <alignment horizontal="center" vertical="center"/>
    </xf>
    <xf numFmtId="0" fontId="37" fillId="6" borderId="4" xfId="0" applyFont="1" applyFill="1" applyBorder="1" applyAlignment="1">
      <alignment horizontal="center" vertical="center"/>
    </xf>
    <xf numFmtId="0" fontId="37" fillId="6"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6" xfId="0" applyFont="1" applyFill="1" applyBorder="1" applyAlignment="1">
      <alignment horizontal="center" vertical="center"/>
    </xf>
    <xf numFmtId="0" fontId="20" fillId="2" borderId="5" xfId="0" applyFont="1" applyFill="1" applyBorder="1" applyAlignment="1">
      <alignment horizontal="right"/>
    </xf>
    <xf numFmtId="0" fontId="21" fillId="3" borderId="14" xfId="0" applyFont="1" applyFill="1" applyBorder="1" applyAlignment="1">
      <alignment horizontal="center" vertical="center"/>
    </xf>
    <xf numFmtId="0" fontId="21" fillId="3" borderId="21" xfId="0" applyFont="1" applyFill="1" applyBorder="1" applyAlignment="1">
      <alignment horizontal="center" vertical="center"/>
    </xf>
    <xf numFmtId="0" fontId="9" fillId="2" borderId="1" xfId="0" applyFont="1" applyFill="1" applyBorder="1" applyAlignment="1">
      <alignment horizontal="center" vertical="center" wrapText="1"/>
    </xf>
    <xf numFmtId="0" fontId="0" fillId="0" borderId="1" xfId="0" applyBorder="1" applyAlignment="1">
      <alignment horizontal="center" vertical="center" wrapText="1"/>
    </xf>
    <xf numFmtId="0" fontId="6" fillId="3" borderId="14"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9"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30" xfId="0" applyFont="1" applyFill="1" applyBorder="1" applyAlignment="1">
      <alignment horizontal="center" vertical="center"/>
    </xf>
    <xf numFmtId="2" fontId="21" fillId="3" borderId="14" xfId="0" applyNumberFormat="1" applyFont="1" applyFill="1" applyBorder="1" applyAlignment="1">
      <alignment horizontal="center" vertical="center" wrapText="1"/>
    </xf>
    <xf numFmtId="2" fontId="21" fillId="3" borderId="21" xfId="0" applyNumberFormat="1" applyFont="1" applyFill="1" applyBorder="1" applyAlignment="1">
      <alignment horizontal="center" vertical="center" wrapText="1"/>
    </xf>
    <xf numFmtId="2" fontId="21" fillId="3" borderId="29" xfId="0" applyNumberFormat="1" applyFont="1" applyFill="1" applyBorder="1" applyAlignment="1">
      <alignment horizontal="center" vertical="center" wrapText="1"/>
    </xf>
    <xf numFmtId="2" fontId="24" fillId="2" borderId="1" xfId="0" applyNumberFormat="1" applyFont="1" applyFill="1" applyBorder="1" applyAlignment="1">
      <alignment horizontal="left" vertical="center" wrapText="1"/>
    </xf>
    <xf numFmtId="0" fontId="18" fillId="2" borderId="0" xfId="0" applyFont="1" applyFill="1" applyAlignment="1">
      <alignment horizontal="center"/>
    </xf>
    <xf numFmtId="0" fontId="18" fillId="2" borderId="0" xfId="0" applyFont="1" applyFill="1" applyBorder="1" applyAlignment="1">
      <alignment horizontal="center" vertical="center"/>
    </xf>
    <xf numFmtId="0" fontId="20" fillId="2" borderId="5" xfId="0" applyFont="1" applyFill="1" applyBorder="1" applyAlignment="1">
      <alignment horizontal="right" vertical="center"/>
    </xf>
    <xf numFmtId="0" fontId="22" fillId="6" borderId="1"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5" xfId="0" applyFont="1" applyFill="1" applyBorder="1" applyAlignment="1">
      <alignment horizontal="center" vertical="center"/>
    </xf>
    <xf numFmtId="3" fontId="10" fillId="2" borderId="12" xfId="0" applyNumberFormat="1" applyFont="1" applyFill="1" applyBorder="1" applyAlignment="1">
      <alignment horizontal="center" vertical="center" wrapText="1" readingOrder="1"/>
    </xf>
    <xf numFmtId="3" fontId="10" fillId="2" borderId="9" xfId="0" applyNumberFormat="1" applyFont="1" applyFill="1" applyBorder="1" applyAlignment="1">
      <alignment horizontal="center" vertical="center" wrapText="1" readingOrder="1"/>
    </xf>
    <xf numFmtId="10" fontId="23" fillId="2" borderId="12" xfId="0" applyNumberFormat="1" applyFont="1" applyFill="1" applyBorder="1" applyAlignment="1">
      <alignment vertical="center" wrapText="1"/>
    </xf>
    <xf numFmtId="0" fontId="0" fillId="0" borderId="9" xfId="0" applyBorder="1" applyAlignment="1">
      <alignment vertical="center" wrapText="1"/>
    </xf>
    <xf numFmtId="0" fontId="15" fillId="2" borderId="12" xfId="0" applyFont="1" applyFill="1" applyBorder="1" applyAlignment="1">
      <alignment horizontal="center" vertical="center" wrapText="1" readingOrder="1"/>
    </xf>
    <xf numFmtId="0" fontId="0" fillId="0" borderId="9" xfId="0" applyBorder="1" applyAlignment="1">
      <alignment horizontal="center" vertical="center" wrapText="1" readingOrder="1"/>
    </xf>
    <xf numFmtId="0" fontId="11" fillId="2" borderId="12" xfId="0" applyFont="1" applyFill="1" applyBorder="1" applyAlignment="1">
      <alignment horizontal="center" vertical="center" wrapText="1" readingOrder="1"/>
    </xf>
    <xf numFmtId="0" fontId="11" fillId="2" borderId="9" xfId="0" applyFont="1" applyFill="1" applyBorder="1" applyAlignment="1">
      <alignment horizontal="center" vertical="center" wrapText="1" readingOrder="1"/>
    </xf>
    <xf numFmtId="4" fontId="11" fillId="2" borderId="12" xfId="0" applyNumberFormat="1" applyFont="1" applyFill="1" applyBorder="1" applyAlignment="1">
      <alignment horizontal="center" vertical="center" wrapText="1" readingOrder="1"/>
    </xf>
    <xf numFmtId="4" fontId="11" fillId="2" borderId="9" xfId="0" applyNumberFormat="1" applyFont="1" applyFill="1" applyBorder="1" applyAlignment="1">
      <alignment horizontal="center" vertical="center" wrapText="1" readingOrder="1"/>
    </xf>
    <xf numFmtId="9" fontId="10" fillId="2" borderId="12" xfId="0" applyNumberFormat="1" applyFont="1" applyFill="1" applyBorder="1" applyAlignment="1">
      <alignment horizontal="center" vertical="center" wrapText="1" readingOrder="1"/>
    </xf>
    <xf numFmtId="9" fontId="10" fillId="2" borderId="9" xfId="0" applyNumberFormat="1" applyFont="1" applyFill="1" applyBorder="1" applyAlignment="1">
      <alignment horizontal="center" vertical="center" wrapText="1" readingOrder="1"/>
    </xf>
    <xf numFmtId="0" fontId="16" fillId="6" borderId="5" xfId="0" applyFont="1" applyFill="1" applyBorder="1" applyAlignment="1">
      <alignment horizontal="center" vertical="center" wrapText="1"/>
    </xf>
    <xf numFmtId="0" fontId="19" fillId="2" borderId="12" xfId="0" applyFont="1" applyFill="1" applyBorder="1" applyAlignment="1">
      <alignment horizontal="left" vertical="center" wrapText="1" indent="1" readingOrder="1"/>
    </xf>
    <xf numFmtId="0" fontId="19" fillId="2" borderId="9" xfId="0" applyFont="1" applyFill="1" applyBorder="1" applyAlignment="1">
      <alignment horizontal="left" vertical="center" wrapText="1" indent="1" readingOrder="1"/>
    </xf>
    <xf numFmtId="0" fontId="27" fillId="0" borderId="0" xfId="0" applyFont="1" applyAlignment="1">
      <alignment horizontal="center"/>
    </xf>
    <xf numFmtId="0" fontId="34" fillId="3" borderId="14" xfId="0" applyFont="1" applyFill="1" applyBorder="1" applyAlignment="1">
      <alignment horizontal="center" vertical="center"/>
    </xf>
    <xf numFmtId="0" fontId="34" fillId="3" borderId="21"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30" xfId="0" applyFont="1" applyFill="1" applyBorder="1" applyAlignment="1">
      <alignment horizontal="center" vertical="center"/>
    </xf>
    <xf numFmtId="0" fontId="18" fillId="0" borderId="0" xfId="0" applyFont="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12" fillId="0" borderId="0" xfId="0" applyFont="1" applyAlignment="1">
      <alignment horizontal="center"/>
    </xf>
    <xf numFmtId="4" fontId="48" fillId="11" borderId="14" xfId="0" applyNumberFormat="1" applyFont="1" applyFill="1" applyBorder="1" applyAlignment="1">
      <alignment horizontal="center"/>
    </xf>
    <xf numFmtId="4" fontId="48" fillId="11" borderId="21" xfId="0" applyNumberFormat="1" applyFont="1" applyFill="1" applyBorder="1" applyAlignment="1">
      <alignment horizontal="center"/>
    </xf>
    <xf numFmtId="4" fontId="48" fillId="11" borderId="15" xfId="0" applyNumberFormat="1" applyFont="1" applyFill="1" applyBorder="1" applyAlignment="1">
      <alignment horizontal="center"/>
    </xf>
    <xf numFmtId="0" fontId="46" fillId="11" borderId="1" xfId="0" applyFont="1" applyFill="1" applyBorder="1" applyAlignment="1">
      <alignment horizontal="center" wrapText="1"/>
    </xf>
    <xf numFmtId="0" fontId="47" fillId="0" borderId="0" xfId="0" applyFont="1" applyAlignment="1">
      <alignment horizontal="center"/>
    </xf>
    <xf numFmtId="4" fontId="48" fillId="7" borderId="1" xfId="0" applyNumberFormat="1" applyFont="1" applyFill="1" applyBorder="1" applyAlignment="1">
      <alignment horizontal="center" wrapText="1"/>
    </xf>
    <xf numFmtId="0" fontId="45" fillId="7" borderId="1" xfId="0" applyFont="1" applyFill="1" applyBorder="1" applyAlignment="1">
      <alignment horizontal="center" wrapText="1"/>
    </xf>
    <xf numFmtId="0" fontId="46" fillId="0" borderId="0" xfId="0" applyFont="1" applyAlignment="1">
      <alignment horizontal="center"/>
    </xf>
    <xf numFmtId="0" fontId="48" fillId="0" borderId="0" xfId="0" applyFont="1" applyAlignment="1">
      <alignment horizontal="center"/>
    </xf>
    <xf numFmtId="0" fontId="46" fillId="11" borderId="16" xfId="0" applyFont="1" applyFill="1" applyBorder="1" applyAlignment="1">
      <alignment horizontal="center" wrapText="1"/>
    </xf>
    <xf numFmtId="0" fontId="46" fillId="11" borderId="5" xfId="0" applyFont="1" applyFill="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514350" cy="82504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514350" cy="8250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266700</xdr:colOff>
      <xdr:row>31</xdr:row>
      <xdr:rowOff>0</xdr:rowOff>
    </xdr:from>
    <xdr:ext cx="184731" cy="264560"/>
    <xdr:sp macro="" textlink="">
      <xdr:nvSpPr>
        <xdr:cNvPr id="1435"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6"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7"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8"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9"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0"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1"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2"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3"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4"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5" name="2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6" name="3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7" name="4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8" name="5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9" name="6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0" name="1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1" name="2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2" name="3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3" name="4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4" name="5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5" name="6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6"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7"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8"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9"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0"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1"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2"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3"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4"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5"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6"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7"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8"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9"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0"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1"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2"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3"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4"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5"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6"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7"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123825</xdr:colOff>
      <xdr:row>0</xdr:row>
      <xdr:rowOff>0</xdr:rowOff>
    </xdr:from>
    <xdr:ext cx="646449" cy="857250"/>
    <xdr:pic>
      <xdr:nvPicPr>
        <xdr:cNvPr id="1478" name="Imagen 14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646449" cy="857250"/>
        </a:xfrm>
        <a:prstGeom prst="rect">
          <a:avLst/>
        </a:prstGeom>
      </xdr:spPr>
    </xdr:pic>
    <xdr:clientData/>
  </xdr:oneCellAnchor>
  <xdr:oneCellAnchor>
    <xdr:from>
      <xdr:col>4</xdr:col>
      <xdr:colOff>266700</xdr:colOff>
      <xdr:row>31</xdr:row>
      <xdr:rowOff>0</xdr:rowOff>
    </xdr:from>
    <xdr:ext cx="184731" cy="264560"/>
    <xdr:sp macro="" textlink="">
      <xdr:nvSpPr>
        <xdr:cNvPr id="1479" name="3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0" name="4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1" name="5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2" name="6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3" name="1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4" name="2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5" name="3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7"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8"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9"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0"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1"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2"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3"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4"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5"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6"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7"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8"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9"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0"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1"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2"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3"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4"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5"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6"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7"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8"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9"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0"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1"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2"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3"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4"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5"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6"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7"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8"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9"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0"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1"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2"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3"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4"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5"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6"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7"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8"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9"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0"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1"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2"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3"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4"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5"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6"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7"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8"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9"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0"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1"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2"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3"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4"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5"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6"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7"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8"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9"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50"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1"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2"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3"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4"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5"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6"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7"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8"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9"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0"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1"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2"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3"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4"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5"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6"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7"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8"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9"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0"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1"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2"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3"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4"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5"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6"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7"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8"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9"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0"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1"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2"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3"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4"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5"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6"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7"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8"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9"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0"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1"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2"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3"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4"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5"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6"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7"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8"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9"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0"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1"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2"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3"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4"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5"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6"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7"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8"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9"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0"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1"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2"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3"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4"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5"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6"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7"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8"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9"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0"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1"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2"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3"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4"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5"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6"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7"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8"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9"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0"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1"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2"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3"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4"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5"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6"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7"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8"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9"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0"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1"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2"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3"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4"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5"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6"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7"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8"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9"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0"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1"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2"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3"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4"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5"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6"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7"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8"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9"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0"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1"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2"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3"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4"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5"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6"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7"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8"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9"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0"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1"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2"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3"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4"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5"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6"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7"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8"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79" name="2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0" name="3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1" name="4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2" name="5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3" name="6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4" name="1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5" name="2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6" name="3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7" name="4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8" name="5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9" name="6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0" name="2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1" name="3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2" name="4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3" name="5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4" name="6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5" name="1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6" name="2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7" name="3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8" name="4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9" name="5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700" name="6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1" name="4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2" name="5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3" name="6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4" name="1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5" name="2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6" name="3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7" name="4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8" name="5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9" name="6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1" name="3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2" name="4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3" name="5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4" name="6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5" name="1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6" name="2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7" name="3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8" name="4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9" name="5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20" name="6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123826</xdr:colOff>
      <xdr:row>0</xdr:row>
      <xdr:rowOff>0</xdr:rowOff>
    </xdr:from>
    <xdr:ext cx="533400" cy="85725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0"/>
          <a:ext cx="533400" cy="857250"/>
        </a:xfrm>
        <a:prstGeom prst="rect">
          <a:avLst/>
        </a:prstGeom>
      </xdr:spPr>
    </xdr:pic>
    <xdr:clientData/>
  </xdr:oneCellAnchor>
  <xdr:oneCellAnchor>
    <xdr:from>
      <xdr:col>2</xdr:col>
      <xdr:colOff>266700</xdr:colOff>
      <xdr:row>21</xdr:row>
      <xdr:rowOff>0</xdr:rowOff>
    </xdr:from>
    <xdr:ext cx="184731" cy="264560"/>
    <xdr:sp macro="" textlink="">
      <xdr:nvSpPr>
        <xdr:cNvPr id="3" name="4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 name="5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 name="6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6" name="1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7" name="2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8" name="3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9" name="4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0" name="5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1" name="6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352426</xdr:colOff>
      <xdr:row>0</xdr:row>
      <xdr:rowOff>0</xdr:rowOff>
    </xdr:from>
    <xdr:ext cx="533400" cy="7620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6" y="0"/>
          <a:ext cx="533400" cy="762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57151</xdr:colOff>
      <xdr:row>0</xdr:row>
      <xdr:rowOff>9525</xdr:rowOff>
    </xdr:from>
    <xdr:ext cx="581024" cy="8001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9525"/>
          <a:ext cx="581024" cy="800100"/>
        </a:xfrm>
        <a:prstGeom prst="rect">
          <a:avLst/>
        </a:prstGeom>
      </xdr:spPr>
    </xdr:pic>
    <xdr:clientData/>
  </xdr:oneCellAnchor>
  <xdr:oneCellAnchor>
    <xdr:from>
      <xdr:col>1</xdr:col>
      <xdr:colOff>266700</xdr:colOff>
      <xdr:row>6</xdr:row>
      <xdr:rowOff>0</xdr:rowOff>
    </xdr:from>
    <xdr:ext cx="184731" cy="264560"/>
    <xdr:sp macro="" textlink="">
      <xdr:nvSpPr>
        <xdr:cNvPr id="3"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4"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5"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6"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7"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8"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9"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0"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1"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2"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3"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4"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5"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6"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7"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8"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9"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0"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1"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2"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3"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4"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5"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6"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7"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8"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9"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0"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1"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2"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3"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4"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5"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6"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7"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8"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3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1"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7"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8"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9"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0"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1"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2"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3"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4"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5"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6"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7"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8"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1"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7"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8"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9"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0"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1"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2"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3"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4"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5"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6"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7"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8"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1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1"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7"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8"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9"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0"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1"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2"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3"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4"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5"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6"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7"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8"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1"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266700</xdr:colOff>
      <xdr:row>20</xdr:row>
      <xdr:rowOff>0</xdr:rowOff>
    </xdr:from>
    <xdr:ext cx="184731" cy="264560"/>
    <xdr:sp macro="" textlink="">
      <xdr:nvSpPr>
        <xdr:cNvPr id="203" name="2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4" name="3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5" name="4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6" name="5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7" name="6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8" name="1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9" name="2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0" name="3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1" name="4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2" name="5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3" name="6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4" name="2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5" name="3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6" name="4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7" name="5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8" name="6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9" name="1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0" name="2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1" name="3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2" name="4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3" name="5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4" name="6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5" name="2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6" name="3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7" name="4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8" name="5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9" name="6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0" name="1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1" name="2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2" name="3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3" name="4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4" name="5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5" name="6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0</xdr:col>
      <xdr:colOff>161925</xdr:colOff>
      <xdr:row>0</xdr:row>
      <xdr:rowOff>0</xdr:rowOff>
    </xdr:from>
    <xdr:ext cx="514350" cy="565308"/>
    <xdr:pic>
      <xdr:nvPicPr>
        <xdr:cNvPr id="236" name="Imagen 2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514350" cy="565308"/>
        </a:xfrm>
        <a:prstGeom prst="rect">
          <a:avLst/>
        </a:prstGeom>
      </xdr:spPr>
    </xdr:pic>
    <xdr:clientData/>
  </xdr:oneCellAnchor>
  <xdr:oneCellAnchor>
    <xdr:from>
      <xdr:col>2</xdr:col>
      <xdr:colOff>266700</xdr:colOff>
      <xdr:row>16</xdr:row>
      <xdr:rowOff>0</xdr:rowOff>
    </xdr:from>
    <xdr:ext cx="184731" cy="264560"/>
    <xdr:sp macro="" textlink="">
      <xdr:nvSpPr>
        <xdr:cNvPr id="237" name="2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38" name="3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39" name="4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0" name="5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1" name="6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2" name="1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3" name="2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4" name="3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5" name="4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6" name="5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7" name="6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48" name="2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49" name="3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0" name="4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1" name="5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2" name="6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3" name="1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4" name="2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5" name="3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6" name="4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7" name="5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8" name="6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59" name="2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0" name="3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1" name="4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2" name="5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3" name="6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4" name="1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5" name="2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6" name="3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7" name="4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8" name="5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9" name="6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333375</xdr:colOff>
      <xdr:row>0</xdr:row>
      <xdr:rowOff>0</xdr:rowOff>
    </xdr:from>
    <xdr:ext cx="324331" cy="520244"/>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0"/>
          <a:ext cx="324331" cy="52024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0</xdr:row>
      <xdr:rowOff>9525</xdr:rowOff>
    </xdr:from>
    <xdr:to>
      <xdr:col>0</xdr:col>
      <xdr:colOff>781049</xdr:colOff>
      <xdr:row>4</xdr:row>
      <xdr:rowOff>137583</xdr:rowOff>
    </xdr:to>
    <xdr:pic>
      <xdr:nvPicPr>
        <xdr:cNvPr id="3" name="Imagen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638174" cy="880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4"/>
  <sheetViews>
    <sheetView workbookViewId="0">
      <selection activeCell="G28" sqref="G28"/>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4" spans="1:4" ht="16.5" x14ac:dyDescent="0.3">
      <c r="A4" s="310" t="s">
        <v>356</v>
      </c>
      <c r="B4" s="310"/>
      <c r="C4" s="310"/>
      <c r="D4" s="310"/>
    </row>
    <row r="5" spans="1:4" ht="16.5" x14ac:dyDescent="0.3">
      <c r="A5" s="223" t="s">
        <v>349</v>
      </c>
      <c r="B5" s="223" t="s">
        <v>350</v>
      </c>
      <c r="C5" s="223" t="s">
        <v>351</v>
      </c>
      <c r="D5" s="223" t="s">
        <v>62</v>
      </c>
    </row>
    <row r="6" spans="1:4" ht="30.75" x14ac:dyDescent="0.3">
      <c r="A6" s="233" t="s">
        <v>357</v>
      </c>
      <c r="B6" s="234">
        <v>7</v>
      </c>
      <c r="C6" s="235">
        <f>'En trámite'!E6</f>
        <v>117307570</v>
      </c>
      <c r="D6" s="224"/>
    </row>
    <row r="7" spans="1:4" ht="16.5" x14ac:dyDescent="0.3">
      <c r="A7" s="1" t="s">
        <v>352</v>
      </c>
      <c r="B7" s="230">
        <v>44</v>
      </c>
      <c r="C7" s="231">
        <f>'Programas Desarrollados'!E6</f>
        <v>1272949435.4299998</v>
      </c>
      <c r="D7" s="225">
        <f>'Programas Desarrollados'!K6</f>
        <v>859940558.53799987</v>
      </c>
    </row>
    <row r="8" spans="1:4" ht="16.5" x14ac:dyDescent="0.3">
      <c r="A8" s="1" t="s">
        <v>353</v>
      </c>
      <c r="B8" s="230">
        <v>24</v>
      </c>
      <c r="C8" s="232">
        <f>'proy x cierre'!D6</f>
        <v>136150513.16999999</v>
      </c>
      <c r="D8" s="226">
        <f>'proy x cierre'!H6</f>
        <v>29557924.041800003</v>
      </c>
    </row>
    <row r="9" spans="1:4" ht="16.5" x14ac:dyDescent="0.3">
      <c r="A9" s="1" t="s">
        <v>354</v>
      </c>
      <c r="B9" s="230">
        <v>15</v>
      </c>
      <c r="C9" s="232">
        <f>Legales!D6</f>
        <v>71167952.560000002</v>
      </c>
      <c r="D9" s="226">
        <f>Legales!H6</f>
        <v>40276584.072900005</v>
      </c>
    </row>
    <row r="10" spans="1:4" ht="16.5" x14ac:dyDescent="0.3">
      <c r="A10" s="1" t="s">
        <v>355</v>
      </c>
      <c r="B10" s="230">
        <v>3</v>
      </c>
      <c r="C10" s="232">
        <f>Consultorias!D6</f>
        <v>14312030.520000001</v>
      </c>
      <c r="D10" s="226">
        <f>Consultorias!H6</f>
        <v>4630862.6595999999</v>
      </c>
    </row>
    <row r="11" spans="1:4" ht="16.5" x14ac:dyDescent="0.3">
      <c r="A11" s="228" t="s">
        <v>358</v>
      </c>
      <c r="B11" s="228">
        <f>SUM(B6:B10)</f>
        <v>93</v>
      </c>
      <c r="C11" s="229">
        <f>SUM(C6:C10)</f>
        <v>1611887501.6799998</v>
      </c>
      <c r="D11" s="229">
        <f>SUM(D6:D10)</f>
        <v>934405929.31229997</v>
      </c>
    </row>
    <row r="14" spans="1:4" x14ac:dyDescent="0.25">
      <c r="A14" s="227" t="s">
        <v>359</v>
      </c>
    </row>
  </sheetData>
  <mergeCells count="1">
    <mergeCell ref="A4:D4"/>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7" workbookViewId="0">
      <selection activeCell="H9" sqref="H9"/>
    </sheetView>
  </sheetViews>
  <sheetFormatPr baseColWidth="10" defaultRowHeight="15" x14ac:dyDescent="0.25"/>
  <cols>
    <col min="1" max="1" width="5" bestFit="1" customWidth="1"/>
    <col min="2" max="2" width="17.42578125" bestFit="1" customWidth="1"/>
    <col min="3" max="3" width="19.42578125" customWidth="1"/>
    <col min="4" max="4" width="34.7109375" bestFit="1" customWidth="1"/>
    <col min="5" max="5" width="26" customWidth="1"/>
    <col min="6" max="6" width="32.28515625" customWidth="1"/>
  </cols>
  <sheetData>
    <row r="1" spans="1:11" ht="15.75" x14ac:dyDescent="0.25">
      <c r="A1" s="311" t="s">
        <v>1</v>
      </c>
      <c r="B1" s="311"/>
      <c r="C1" s="311"/>
      <c r="D1" s="311"/>
      <c r="E1" s="311"/>
      <c r="F1" s="312"/>
    </row>
    <row r="2" spans="1:11" ht="15.75" customHeight="1" x14ac:dyDescent="0.25">
      <c r="A2" s="311" t="s">
        <v>13</v>
      </c>
      <c r="B2" s="311"/>
      <c r="C2" s="311"/>
      <c r="D2" s="311"/>
      <c r="E2" s="311"/>
      <c r="F2" s="311"/>
    </row>
    <row r="3" spans="1:11" ht="16.5" customHeight="1" x14ac:dyDescent="0.25">
      <c r="A3" s="313" t="s">
        <v>63</v>
      </c>
      <c r="B3" s="313"/>
      <c r="C3" s="313"/>
      <c r="D3" s="313"/>
      <c r="E3" s="313"/>
      <c r="F3" s="313"/>
    </row>
    <row r="4" spans="1:11" ht="16.5" customHeight="1" x14ac:dyDescent="0.25">
      <c r="A4" s="319" t="s">
        <v>360</v>
      </c>
      <c r="B4" s="319"/>
      <c r="C4" s="319"/>
      <c r="D4" s="319"/>
      <c r="E4" s="319"/>
      <c r="F4" s="319"/>
    </row>
    <row r="5" spans="1:11" ht="30.75" thickBot="1" x14ac:dyDescent="0.3">
      <c r="A5" s="188" t="s">
        <v>2</v>
      </c>
      <c r="B5" s="188" t="s">
        <v>253</v>
      </c>
      <c r="C5" s="189" t="s">
        <v>3</v>
      </c>
      <c r="D5" s="190" t="s">
        <v>4</v>
      </c>
      <c r="E5" s="190" t="s">
        <v>250</v>
      </c>
      <c r="F5" s="189" t="s">
        <v>5</v>
      </c>
    </row>
    <row r="6" spans="1:11" ht="21" thickTop="1" x14ac:dyDescent="0.25">
      <c r="A6" s="315" t="s">
        <v>6</v>
      </c>
      <c r="B6" s="316"/>
      <c r="C6" s="316"/>
      <c r="D6" s="316"/>
      <c r="E6" s="187">
        <f>SUM(E7+E12+E14)</f>
        <v>117307570</v>
      </c>
      <c r="F6" s="153"/>
    </row>
    <row r="7" spans="1:11" ht="15.75" x14ac:dyDescent="0.25">
      <c r="A7" s="317" t="s">
        <v>0</v>
      </c>
      <c r="B7" s="318"/>
      <c r="C7" s="318"/>
      <c r="D7" s="318"/>
      <c r="E7" s="7">
        <f>SUM(E8:E11)</f>
        <v>46846125</v>
      </c>
      <c r="F7" s="28"/>
    </row>
    <row r="8" spans="1:11" ht="63" x14ac:dyDescent="0.25">
      <c r="A8" s="238">
        <v>1</v>
      </c>
      <c r="B8" s="236" t="s">
        <v>254</v>
      </c>
      <c r="C8" s="236" t="s">
        <v>251</v>
      </c>
      <c r="D8" s="8" t="s">
        <v>258</v>
      </c>
      <c r="E8" s="239">
        <v>5969520</v>
      </c>
      <c r="F8" s="75" t="s">
        <v>528</v>
      </c>
    </row>
    <row r="9" spans="1:11" ht="142.5" customHeight="1" x14ac:dyDescent="0.25">
      <c r="A9" s="238">
        <v>2</v>
      </c>
      <c r="B9" s="236" t="s">
        <v>255</v>
      </c>
      <c r="C9" s="8" t="s">
        <v>11</v>
      </c>
      <c r="D9" s="10" t="s">
        <v>257</v>
      </c>
      <c r="E9" s="239">
        <v>37997305</v>
      </c>
      <c r="F9" s="75" t="s">
        <v>361</v>
      </c>
    </row>
    <row r="10" spans="1:11" ht="157.5" x14ac:dyDescent="0.25">
      <c r="A10" s="236">
        <v>3</v>
      </c>
      <c r="B10" s="8" t="s">
        <v>256</v>
      </c>
      <c r="C10" s="10" t="s">
        <v>252</v>
      </c>
      <c r="D10" s="240" t="s">
        <v>346</v>
      </c>
      <c r="E10" s="90">
        <v>2129300</v>
      </c>
      <c r="F10" s="62" t="s">
        <v>345</v>
      </c>
    </row>
    <row r="11" spans="1:11" ht="99" x14ac:dyDescent="0.25">
      <c r="A11" s="236">
        <v>4</v>
      </c>
      <c r="B11" s="236" t="s">
        <v>254</v>
      </c>
      <c r="C11" s="10" t="s">
        <v>290</v>
      </c>
      <c r="D11" s="240" t="s">
        <v>348</v>
      </c>
      <c r="E11" s="90">
        <v>750000</v>
      </c>
      <c r="F11" s="62" t="s">
        <v>347</v>
      </c>
    </row>
    <row r="12" spans="1:11" ht="15.75" x14ac:dyDescent="0.25">
      <c r="A12" s="314" t="s">
        <v>7</v>
      </c>
      <c r="B12" s="314"/>
      <c r="C12" s="314"/>
      <c r="D12" s="314"/>
      <c r="E12" s="241">
        <f>SUM(E13:E13)</f>
        <v>4506555</v>
      </c>
      <c r="F12" s="242"/>
    </row>
    <row r="13" spans="1:11" ht="88.5" customHeight="1" x14ac:dyDescent="0.25">
      <c r="A13" s="238">
        <v>4</v>
      </c>
      <c r="B13" s="236" t="s">
        <v>254</v>
      </c>
      <c r="C13" s="236" t="s">
        <v>10</v>
      </c>
      <c r="D13" s="8" t="s">
        <v>259</v>
      </c>
      <c r="E13" s="9">
        <v>4506555</v>
      </c>
      <c r="F13" s="75" t="s">
        <v>262</v>
      </c>
      <c r="G13" s="5"/>
      <c r="H13" s="2"/>
      <c r="I13" s="3"/>
      <c r="J13" s="4"/>
      <c r="K13" s="6"/>
    </row>
    <row r="14" spans="1:11" ht="15.75" x14ac:dyDescent="0.25">
      <c r="A14" s="314" t="s">
        <v>9</v>
      </c>
      <c r="B14" s="314"/>
      <c r="C14" s="314"/>
      <c r="D14" s="314"/>
      <c r="E14" s="241">
        <f>SUM(E15:E17)</f>
        <v>65954890</v>
      </c>
      <c r="F14" s="243"/>
    </row>
    <row r="15" spans="1:11" ht="78.75" x14ac:dyDescent="0.25">
      <c r="A15" s="238">
        <v>5</v>
      </c>
      <c r="B15" s="236" t="s">
        <v>342</v>
      </c>
      <c r="C15" s="236" t="s">
        <v>261</v>
      </c>
      <c r="D15" s="11" t="s">
        <v>260</v>
      </c>
      <c r="E15" s="37">
        <v>61429111</v>
      </c>
      <c r="F15" s="75" t="s">
        <v>343</v>
      </c>
    </row>
    <row r="16" spans="1:11" ht="126" x14ac:dyDescent="0.25">
      <c r="A16" s="238">
        <v>6</v>
      </c>
      <c r="B16" s="236" t="s">
        <v>254</v>
      </c>
      <c r="C16" s="236" t="s">
        <v>261</v>
      </c>
      <c r="D16" s="11" t="s">
        <v>341</v>
      </c>
      <c r="E16" s="37">
        <v>4279779</v>
      </c>
      <c r="F16" s="75" t="s">
        <v>344</v>
      </c>
    </row>
    <row r="17" spans="1:6" ht="78.75" x14ac:dyDescent="0.25">
      <c r="A17" s="238">
        <v>7</v>
      </c>
      <c r="B17" s="203" t="s">
        <v>289</v>
      </c>
      <c r="C17" s="236" t="s">
        <v>290</v>
      </c>
      <c r="D17" s="11" t="s">
        <v>291</v>
      </c>
      <c r="E17" s="37">
        <v>246000</v>
      </c>
      <c r="F17" s="75" t="s">
        <v>402</v>
      </c>
    </row>
  </sheetData>
  <sheetProtection formatCells="0" formatColumns="0" formatRows="0" insertColumns="0" insertRows="0" insertHyperlinks="0" deleteColumns="0" deleteRows="0" sort="0" autoFilter="0" pivotTables="0"/>
  <mergeCells count="8">
    <mergeCell ref="A1:F1"/>
    <mergeCell ref="A2:F2"/>
    <mergeCell ref="A3:F3"/>
    <mergeCell ref="A14:D14"/>
    <mergeCell ref="A12:D12"/>
    <mergeCell ref="A6:D6"/>
    <mergeCell ref="A7:D7"/>
    <mergeCell ref="A4:F4"/>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abSelected="1" topLeftCell="B1" workbookViewId="0">
      <selection activeCell="H8" sqref="H8"/>
    </sheetView>
  </sheetViews>
  <sheetFormatPr baseColWidth="10" defaultRowHeight="15" x14ac:dyDescent="0.25"/>
  <cols>
    <col min="1" max="1" width="0" hidden="1" customWidth="1"/>
    <col min="2" max="2" width="5" bestFit="1" customWidth="1"/>
    <col min="3" max="3" width="12.140625" customWidth="1"/>
    <col min="4" max="4" width="34.28515625" customWidth="1"/>
    <col min="5" max="5" width="13.7109375" customWidth="1"/>
    <col min="6" max="6" width="16" hidden="1" customWidth="1"/>
    <col min="7" max="7" width="10.5703125" customWidth="1"/>
    <col min="8" max="8" width="13.28515625" customWidth="1"/>
    <col min="9" max="9" width="11.42578125" hidden="1" customWidth="1"/>
    <col min="10" max="10" width="16.7109375" customWidth="1"/>
    <col min="11" max="11" width="16.85546875" customWidth="1"/>
    <col min="12" max="12" width="18.140625" hidden="1" customWidth="1"/>
    <col min="13" max="17" width="15.28515625" hidden="1" customWidth="1"/>
    <col min="18" max="18" width="29.85546875" customWidth="1"/>
    <col min="21" max="21" width="13.7109375" bestFit="1" customWidth="1"/>
    <col min="22" max="22" width="12.7109375" bestFit="1" customWidth="1"/>
    <col min="23" max="23" width="15.28515625" bestFit="1" customWidth="1"/>
  </cols>
  <sheetData>
    <row r="1" spans="1:23" ht="15.75" x14ac:dyDescent="0.25">
      <c r="A1" s="311" t="s">
        <v>1</v>
      </c>
      <c r="B1" s="311"/>
      <c r="C1" s="311"/>
      <c r="D1" s="311"/>
      <c r="E1" s="311"/>
      <c r="F1" s="311"/>
      <c r="G1" s="311"/>
      <c r="H1" s="311"/>
      <c r="I1" s="311"/>
      <c r="J1" s="311"/>
      <c r="K1" s="311"/>
      <c r="L1" s="311"/>
      <c r="M1" s="311"/>
      <c r="N1" s="311"/>
      <c r="O1" s="311"/>
      <c r="P1" s="311"/>
      <c r="Q1" s="311"/>
      <c r="R1" s="311"/>
    </row>
    <row r="2" spans="1:23" ht="15.75" x14ac:dyDescent="0.25">
      <c r="A2" s="47"/>
      <c r="B2" s="47"/>
      <c r="C2" s="333" t="s">
        <v>13</v>
      </c>
      <c r="D2" s="333"/>
      <c r="E2" s="333"/>
      <c r="F2" s="333"/>
      <c r="G2" s="333"/>
      <c r="H2" s="333"/>
      <c r="I2" s="333"/>
      <c r="J2" s="333"/>
      <c r="K2" s="333"/>
      <c r="L2" s="333"/>
      <c r="M2" s="333"/>
      <c r="N2" s="333"/>
      <c r="O2" s="333"/>
      <c r="P2" s="333"/>
      <c r="Q2" s="333"/>
      <c r="R2" s="333"/>
    </row>
    <row r="3" spans="1:23" ht="15.75" x14ac:dyDescent="0.25">
      <c r="A3" s="334" t="s">
        <v>552</v>
      </c>
      <c r="B3" s="334"/>
      <c r="C3" s="334"/>
      <c r="D3" s="334"/>
      <c r="E3" s="334"/>
      <c r="F3" s="334"/>
      <c r="G3" s="334"/>
      <c r="H3" s="334"/>
      <c r="I3" s="334"/>
      <c r="J3" s="334"/>
      <c r="K3" s="334"/>
      <c r="L3" s="334"/>
      <c r="M3" s="334"/>
      <c r="N3" s="334"/>
      <c r="O3" s="334"/>
      <c r="P3" s="334"/>
      <c r="Q3" s="334"/>
      <c r="R3" s="334"/>
    </row>
    <row r="4" spans="1:23" ht="18.75" thickBot="1" x14ac:dyDescent="0.3">
      <c r="A4" s="48"/>
      <c r="B4" s="335" t="s">
        <v>551</v>
      </c>
      <c r="C4" s="335"/>
      <c r="D4" s="335"/>
      <c r="E4" s="335"/>
      <c r="F4" s="335"/>
      <c r="G4" s="335"/>
      <c r="H4" s="335"/>
      <c r="I4" s="335"/>
      <c r="J4" s="335"/>
      <c r="K4" s="335"/>
      <c r="L4" s="335"/>
      <c r="M4" s="335"/>
      <c r="N4" s="335"/>
      <c r="O4" s="335"/>
      <c r="P4" s="335"/>
      <c r="Q4" s="335"/>
      <c r="R4" s="335"/>
    </row>
    <row r="5" spans="1:23" ht="63.75" thickTop="1" x14ac:dyDescent="0.25">
      <c r="A5" s="51" t="s">
        <v>3</v>
      </c>
      <c r="B5" s="52" t="s">
        <v>2</v>
      </c>
      <c r="C5" s="52" t="s">
        <v>64</v>
      </c>
      <c r="D5" s="52" t="s">
        <v>4</v>
      </c>
      <c r="E5" s="53" t="s">
        <v>65</v>
      </c>
      <c r="F5" s="54" t="s">
        <v>66</v>
      </c>
      <c r="G5" s="54" t="s">
        <v>67</v>
      </c>
      <c r="H5" s="54" t="s">
        <v>68</v>
      </c>
      <c r="I5" s="54"/>
      <c r="J5" s="54" t="s">
        <v>69</v>
      </c>
      <c r="K5" s="54" t="s">
        <v>62</v>
      </c>
      <c r="L5" s="54" t="s">
        <v>263</v>
      </c>
      <c r="M5" s="54" t="s">
        <v>531</v>
      </c>
      <c r="N5" s="54" t="s">
        <v>529</v>
      </c>
      <c r="O5" s="54" t="s">
        <v>536</v>
      </c>
      <c r="P5" s="54" t="s">
        <v>533</v>
      </c>
      <c r="Q5" s="54" t="s">
        <v>530</v>
      </c>
      <c r="R5" s="54" t="s">
        <v>5</v>
      </c>
    </row>
    <row r="6" spans="1:23" ht="15.75" x14ac:dyDescent="0.25">
      <c r="A6" s="336" t="s">
        <v>70</v>
      </c>
      <c r="B6" s="336"/>
      <c r="C6" s="336"/>
      <c r="D6" s="336"/>
      <c r="E6" s="154">
        <f>SUM(E7+E10+E13+E15+E25+E29+E32+E47+E57+E45)</f>
        <v>1272949435.4299998</v>
      </c>
      <c r="F6" s="155"/>
      <c r="G6" s="155"/>
      <c r="H6" s="155"/>
      <c r="I6" s="155"/>
      <c r="J6" s="154">
        <f>SUM(J7+J10+J13+J15+J25+J29+J32+J47+J57+J45)</f>
        <v>413008877.39200008</v>
      </c>
      <c r="K6" s="154">
        <f>SUM(K7+K10+K13+K15+K25+K29+K32+K47+K57+K45)</f>
        <v>859940558.53799987</v>
      </c>
      <c r="L6" s="191"/>
      <c r="M6" s="191"/>
      <c r="N6" s="191"/>
      <c r="O6" s="191"/>
      <c r="P6" s="191"/>
      <c r="Q6" s="191"/>
      <c r="R6" s="156"/>
      <c r="U6" s="291"/>
      <c r="V6" s="292"/>
      <c r="W6" s="291"/>
    </row>
    <row r="7" spans="1:23" ht="15.75" x14ac:dyDescent="0.25">
      <c r="A7" s="337" t="s">
        <v>0</v>
      </c>
      <c r="B7" s="338"/>
      <c r="C7" s="338"/>
      <c r="D7" s="338"/>
      <c r="E7" s="55">
        <f>SUM(E8:E9)</f>
        <v>65666156</v>
      </c>
      <c r="F7" s="56"/>
      <c r="G7" s="57"/>
      <c r="H7" s="58"/>
      <c r="I7" s="58"/>
      <c r="J7" s="55">
        <f>SUM(J8:J9)</f>
        <v>31548440.84</v>
      </c>
      <c r="K7" s="55">
        <f>SUM(K8:K9)</f>
        <v>34117715.159999996</v>
      </c>
      <c r="L7" s="192"/>
      <c r="M7" s="192"/>
      <c r="N7" s="192"/>
      <c r="O7" s="192"/>
      <c r="P7" s="192"/>
      <c r="Q7" s="192"/>
      <c r="R7" s="59"/>
      <c r="U7" s="292"/>
    </row>
    <row r="8" spans="1:23" ht="311.25" customHeight="1" x14ac:dyDescent="0.25">
      <c r="A8" s="60" t="s">
        <v>71</v>
      </c>
      <c r="B8" s="294">
        <v>1</v>
      </c>
      <c r="C8" s="294" t="s">
        <v>72</v>
      </c>
      <c r="D8" s="62" t="s">
        <v>73</v>
      </c>
      <c r="E8" s="63">
        <v>44710358</v>
      </c>
      <c r="F8" s="64">
        <v>20000</v>
      </c>
      <c r="G8" s="65">
        <v>70.05</v>
      </c>
      <c r="H8" s="65">
        <v>64</v>
      </c>
      <c r="I8" s="65">
        <v>0.64</v>
      </c>
      <c r="J8" s="63">
        <f>E8*64%</f>
        <v>28614629.120000001</v>
      </c>
      <c r="K8" s="132">
        <f>E8-J8</f>
        <v>16095728.879999999</v>
      </c>
      <c r="L8" s="198" t="s">
        <v>363</v>
      </c>
      <c r="M8" s="65" t="s">
        <v>532</v>
      </c>
      <c r="N8" s="299" t="s">
        <v>535</v>
      </c>
      <c r="O8" s="66">
        <v>18250000</v>
      </c>
      <c r="P8" s="299" t="s">
        <v>534</v>
      </c>
      <c r="Q8" s="305">
        <v>43858</v>
      </c>
      <c r="R8" s="67" t="s">
        <v>362</v>
      </c>
    </row>
    <row r="9" spans="1:23" ht="204" x14ac:dyDescent="0.25">
      <c r="A9" s="49"/>
      <c r="B9" s="294">
        <v>2</v>
      </c>
      <c r="C9" s="294" t="s">
        <v>74</v>
      </c>
      <c r="D9" s="62" t="s">
        <v>75</v>
      </c>
      <c r="E9" s="63">
        <v>20955798</v>
      </c>
      <c r="F9" s="64">
        <v>11324</v>
      </c>
      <c r="G9" s="65">
        <v>11.19</v>
      </c>
      <c r="H9" s="65">
        <v>14</v>
      </c>
      <c r="I9" s="65">
        <v>0.13</v>
      </c>
      <c r="J9" s="63">
        <f>E9*14%</f>
        <v>2933811.72</v>
      </c>
      <c r="K9" s="132">
        <f>E9-J9</f>
        <v>18021986.280000001</v>
      </c>
      <c r="L9" s="132"/>
      <c r="M9" s="66" t="s">
        <v>550</v>
      </c>
      <c r="N9" s="299" t="s">
        <v>535</v>
      </c>
      <c r="O9" s="306" t="s">
        <v>546</v>
      </c>
      <c r="P9" s="132"/>
      <c r="Q9" s="307" t="s">
        <v>545</v>
      </c>
      <c r="R9" s="68" t="s">
        <v>267</v>
      </c>
    </row>
    <row r="10" spans="1:23" ht="15.75" x14ac:dyDescent="0.25">
      <c r="A10" s="320" t="s">
        <v>76</v>
      </c>
      <c r="B10" s="321"/>
      <c r="C10" s="321"/>
      <c r="D10" s="321"/>
      <c r="E10" s="69">
        <f>SUM(E11:E12)</f>
        <v>16733108.800000001</v>
      </c>
      <c r="F10" s="70"/>
      <c r="G10" s="71"/>
      <c r="H10" s="72"/>
      <c r="I10" s="72"/>
      <c r="J10" s="55">
        <f>SUM(J11:J12)</f>
        <v>11801271.668</v>
      </c>
      <c r="K10" s="55">
        <f>SUM(K11:K12)</f>
        <v>4931837.1320000002</v>
      </c>
      <c r="L10" s="192"/>
      <c r="M10" s="192"/>
      <c r="N10" s="192"/>
      <c r="O10" s="192"/>
      <c r="P10" s="192"/>
      <c r="Q10" s="192"/>
      <c r="R10" s="73"/>
    </row>
    <row r="11" spans="1:23" ht="180" customHeight="1" x14ac:dyDescent="0.25">
      <c r="A11" s="74" t="s">
        <v>71</v>
      </c>
      <c r="B11" s="61">
        <v>3</v>
      </c>
      <c r="C11" s="61" t="s">
        <v>77</v>
      </c>
      <c r="D11" s="75" t="s">
        <v>78</v>
      </c>
      <c r="E11" s="63">
        <v>8389870</v>
      </c>
      <c r="F11" s="64">
        <v>8153</v>
      </c>
      <c r="G11" s="65">
        <v>94.67</v>
      </c>
      <c r="H11" s="65">
        <v>80</v>
      </c>
      <c r="I11" s="65">
        <v>0.71</v>
      </c>
      <c r="J11" s="63">
        <f>E11*80%</f>
        <v>6711896</v>
      </c>
      <c r="K11" s="132">
        <f>E11-J11</f>
        <v>1677974</v>
      </c>
      <c r="L11" s="198" t="s">
        <v>364</v>
      </c>
      <c r="M11" s="198"/>
      <c r="N11" s="198"/>
      <c r="O11" s="198"/>
      <c r="P11" s="198"/>
      <c r="Q11" s="198"/>
      <c r="R11" s="68" t="s">
        <v>404</v>
      </c>
    </row>
    <row r="12" spans="1:23" ht="114" customHeight="1" x14ac:dyDescent="0.25">
      <c r="A12" s="76" t="s">
        <v>71</v>
      </c>
      <c r="B12" s="61">
        <v>4</v>
      </c>
      <c r="C12" s="61" t="s">
        <v>79</v>
      </c>
      <c r="D12" s="75" t="s">
        <v>80</v>
      </c>
      <c r="E12" s="63">
        <v>8343238.7999999998</v>
      </c>
      <c r="F12" s="64">
        <v>8397</v>
      </c>
      <c r="G12" s="65">
        <v>41</v>
      </c>
      <c r="H12" s="65">
        <v>61</v>
      </c>
      <c r="I12" s="65">
        <v>0.32</v>
      </c>
      <c r="J12" s="63">
        <f>E12*61%</f>
        <v>5089375.6679999996</v>
      </c>
      <c r="K12" s="132">
        <f>E12-J12</f>
        <v>3253863.1320000002</v>
      </c>
      <c r="L12" s="198" t="s">
        <v>365</v>
      </c>
      <c r="M12" s="198"/>
      <c r="N12" s="198"/>
      <c r="O12" s="198"/>
      <c r="P12" s="198"/>
      <c r="Q12" s="198"/>
      <c r="R12" s="68" t="s">
        <v>265</v>
      </c>
    </row>
    <row r="13" spans="1:23" ht="15.75" x14ac:dyDescent="0.25">
      <c r="A13" s="320" t="s">
        <v>81</v>
      </c>
      <c r="B13" s="321"/>
      <c r="C13" s="321"/>
      <c r="D13" s="321"/>
      <c r="E13" s="69">
        <f>SUM(E14:E14)</f>
        <v>107849328</v>
      </c>
      <c r="F13" s="70"/>
      <c r="G13" s="71"/>
      <c r="H13" s="72"/>
      <c r="I13" s="72"/>
      <c r="J13" s="55">
        <f>SUM(J14)</f>
        <v>26962332</v>
      </c>
      <c r="K13" s="55">
        <f>SUM(K14)</f>
        <v>80886996</v>
      </c>
      <c r="L13" s="192"/>
      <c r="M13" s="192"/>
      <c r="N13" s="192"/>
      <c r="O13" s="192"/>
      <c r="P13" s="192"/>
      <c r="Q13" s="192"/>
      <c r="R13" s="73"/>
    </row>
    <row r="14" spans="1:23" ht="242.25" x14ac:dyDescent="0.25">
      <c r="A14" s="77" t="s">
        <v>71</v>
      </c>
      <c r="B14" s="78">
        <v>5</v>
      </c>
      <c r="C14" s="79" t="s">
        <v>82</v>
      </c>
      <c r="D14" s="80" t="s">
        <v>264</v>
      </c>
      <c r="E14" s="81">
        <v>107849328</v>
      </c>
      <c r="F14" s="82">
        <v>115000</v>
      </c>
      <c r="G14" s="83">
        <v>31.41</v>
      </c>
      <c r="H14" s="83">
        <v>25</v>
      </c>
      <c r="I14" s="83">
        <v>0.22</v>
      </c>
      <c r="J14" s="63">
        <f>E14*25%</f>
        <v>26962332</v>
      </c>
      <c r="K14" s="131">
        <f>E14-J14</f>
        <v>80886996</v>
      </c>
      <c r="L14" s="193"/>
      <c r="M14" s="198"/>
      <c r="N14" s="198"/>
      <c r="O14" s="198"/>
      <c r="P14" s="198"/>
      <c r="Q14" s="198"/>
      <c r="R14" s="85" t="s">
        <v>366</v>
      </c>
    </row>
    <row r="15" spans="1:23" ht="15.75" x14ac:dyDescent="0.25">
      <c r="A15" s="320" t="s">
        <v>7</v>
      </c>
      <c r="B15" s="321"/>
      <c r="C15" s="321"/>
      <c r="D15" s="321"/>
      <c r="E15" s="69">
        <f>SUM(E16:E24)</f>
        <v>336761089.34999996</v>
      </c>
      <c r="F15" s="70"/>
      <c r="G15" s="71"/>
      <c r="H15" s="72"/>
      <c r="I15" s="72"/>
      <c r="J15" s="69">
        <f>SUM(J16:J24)</f>
        <v>81514667.911599994</v>
      </c>
      <c r="K15" s="69">
        <f>SUM(K16:K24)</f>
        <v>255246421.43839997</v>
      </c>
      <c r="L15" s="194"/>
      <c r="M15" s="192"/>
      <c r="N15" s="192"/>
      <c r="O15" s="192"/>
      <c r="P15" s="192"/>
      <c r="Q15" s="192"/>
      <c r="R15" s="73"/>
    </row>
    <row r="16" spans="1:23" ht="128.25" customHeight="1" x14ac:dyDescent="0.25">
      <c r="A16" s="86"/>
      <c r="B16" s="61">
        <v>6</v>
      </c>
      <c r="C16" s="63" t="s">
        <v>83</v>
      </c>
      <c r="D16" s="63" t="s">
        <v>84</v>
      </c>
      <c r="E16" s="63">
        <v>4892627.67</v>
      </c>
      <c r="F16" s="64">
        <v>3708</v>
      </c>
      <c r="G16" s="65">
        <v>62</v>
      </c>
      <c r="H16" s="65">
        <v>46</v>
      </c>
      <c r="I16" s="65">
        <v>0.42</v>
      </c>
      <c r="J16" s="63">
        <f>E16*46%</f>
        <v>2250608.7282000002</v>
      </c>
      <c r="K16" s="66">
        <f t="shared" ref="K16:K24" si="0">E16-J16</f>
        <v>2642018.9417999997</v>
      </c>
      <c r="L16" s="198" t="s">
        <v>368</v>
      </c>
      <c r="M16" s="198"/>
      <c r="N16" s="299"/>
      <c r="O16" s="198"/>
      <c r="P16" s="198"/>
      <c r="Q16" s="198"/>
      <c r="R16" s="68" t="s">
        <v>367</v>
      </c>
    </row>
    <row r="17" spans="1:18" ht="96.75" customHeight="1" x14ac:dyDescent="0.25">
      <c r="A17" s="87"/>
      <c r="B17" s="61">
        <v>7</v>
      </c>
      <c r="C17" s="61" t="s">
        <v>85</v>
      </c>
      <c r="D17" s="75" t="s">
        <v>86</v>
      </c>
      <c r="E17" s="63">
        <v>5655677.2699999996</v>
      </c>
      <c r="F17" s="63">
        <v>146788</v>
      </c>
      <c r="G17" s="65">
        <v>98</v>
      </c>
      <c r="H17" s="65">
        <v>90</v>
      </c>
      <c r="I17" s="65">
        <v>0.78</v>
      </c>
      <c r="J17" s="63">
        <f>E17*90%</f>
        <v>5090109.5429999996</v>
      </c>
      <c r="K17" s="66">
        <f>E17-J17</f>
        <v>565567.72699999996</v>
      </c>
      <c r="L17" s="198" t="s">
        <v>370</v>
      </c>
      <c r="M17" s="198"/>
      <c r="N17" s="198"/>
      <c r="O17" s="198"/>
      <c r="P17" s="198"/>
      <c r="Q17" s="198"/>
      <c r="R17" s="68" t="s">
        <v>369</v>
      </c>
    </row>
    <row r="18" spans="1:18" ht="113.25" customHeight="1" x14ac:dyDescent="0.25">
      <c r="A18" s="87"/>
      <c r="B18" s="61">
        <v>8</v>
      </c>
      <c r="C18" s="61" t="s">
        <v>85</v>
      </c>
      <c r="D18" s="75" t="s">
        <v>87</v>
      </c>
      <c r="E18" s="63">
        <v>10057700</v>
      </c>
      <c r="F18" s="63"/>
      <c r="G18" s="65">
        <v>34</v>
      </c>
      <c r="H18" s="65">
        <v>39</v>
      </c>
      <c r="I18" s="65">
        <v>0.36</v>
      </c>
      <c r="J18" s="63">
        <f>E18*39%</f>
        <v>3922503</v>
      </c>
      <c r="K18" s="66">
        <f t="shared" si="0"/>
        <v>6135197</v>
      </c>
      <c r="L18" s="198" t="s">
        <v>371</v>
      </c>
      <c r="M18" s="198"/>
      <c r="N18" s="198"/>
      <c r="O18" s="198"/>
      <c r="P18" s="198"/>
      <c r="Q18" s="198"/>
      <c r="R18" s="68" t="s">
        <v>405</v>
      </c>
    </row>
    <row r="19" spans="1:18" ht="132.75" customHeight="1" x14ac:dyDescent="0.25">
      <c r="A19" s="87"/>
      <c r="B19" s="61">
        <v>9</v>
      </c>
      <c r="C19" s="61" t="s">
        <v>7</v>
      </c>
      <c r="D19" s="75" t="s">
        <v>88</v>
      </c>
      <c r="E19" s="63">
        <v>742260</v>
      </c>
      <c r="F19" s="63"/>
      <c r="G19" s="65">
        <v>100</v>
      </c>
      <c r="H19" s="65">
        <v>15</v>
      </c>
      <c r="I19" s="65">
        <v>0.15</v>
      </c>
      <c r="J19" s="63">
        <f>E19*15%</f>
        <v>111339</v>
      </c>
      <c r="K19" s="66">
        <f t="shared" si="0"/>
        <v>630921</v>
      </c>
      <c r="L19" s="66"/>
      <c r="M19" s="66"/>
      <c r="N19" s="66"/>
      <c r="O19" s="66"/>
      <c r="P19" s="66"/>
      <c r="Q19" s="66"/>
      <c r="R19" s="68" t="s">
        <v>372</v>
      </c>
    </row>
    <row r="20" spans="1:18" ht="181.5" customHeight="1" x14ac:dyDescent="0.25">
      <c r="A20" s="87"/>
      <c r="B20" s="61">
        <v>10</v>
      </c>
      <c r="C20" s="61" t="s">
        <v>7</v>
      </c>
      <c r="D20" s="75" t="s">
        <v>89</v>
      </c>
      <c r="E20" s="63">
        <v>7248841</v>
      </c>
      <c r="F20" s="63"/>
      <c r="G20" s="65">
        <v>40</v>
      </c>
      <c r="H20" s="65">
        <v>39</v>
      </c>
      <c r="I20" s="65">
        <v>0.19</v>
      </c>
      <c r="J20" s="63">
        <f>E20*39%</f>
        <v>2827047.99</v>
      </c>
      <c r="K20" s="66">
        <f t="shared" si="0"/>
        <v>4421793.01</v>
      </c>
      <c r="L20" s="198" t="s">
        <v>373</v>
      </c>
      <c r="M20" s="198"/>
      <c r="N20" s="198"/>
      <c r="O20" s="198"/>
      <c r="P20" s="198"/>
      <c r="Q20" s="198"/>
      <c r="R20" s="68" t="s">
        <v>403</v>
      </c>
    </row>
    <row r="21" spans="1:18" ht="114.75" x14ac:dyDescent="0.25">
      <c r="A21" s="87"/>
      <c r="B21" s="61">
        <v>11</v>
      </c>
      <c r="C21" s="61" t="s">
        <v>90</v>
      </c>
      <c r="D21" s="62" t="s">
        <v>91</v>
      </c>
      <c r="E21" s="64">
        <v>4860034.03</v>
      </c>
      <c r="F21" s="88"/>
      <c r="G21" s="66">
        <v>99.2</v>
      </c>
      <c r="H21" s="65">
        <v>96</v>
      </c>
      <c r="I21" s="65">
        <v>0.96</v>
      </c>
      <c r="J21" s="63">
        <f>E21*96%</f>
        <v>4665632.6688000001</v>
      </c>
      <c r="K21" s="66">
        <f t="shared" si="0"/>
        <v>194401.36120000016</v>
      </c>
      <c r="L21" s="66"/>
      <c r="M21" s="66"/>
      <c r="N21" s="66"/>
      <c r="O21" s="66"/>
      <c r="P21" s="66"/>
      <c r="Q21" s="66"/>
      <c r="R21" s="68" t="s">
        <v>375</v>
      </c>
    </row>
    <row r="22" spans="1:18" ht="102.75" customHeight="1" x14ac:dyDescent="0.25">
      <c r="A22" s="87"/>
      <c r="B22" s="61">
        <v>12</v>
      </c>
      <c r="C22" s="61" t="s">
        <v>92</v>
      </c>
      <c r="D22" s="62" t="s">
        <v>93</v>
      </c>
      <c r="E22" s="89">
        <v>6405133.25</v>
      </c>
      <c r="F22" s="90">
        <v>208000</v>
      </c>
      <c r="G22" s="65">
        <v>58.53</v>
      </c>
      <c r="H22" s="65">
        <v>36</v>
      </c>
      <c r="I22" s="65">
        <v>0.28999999999999998</v>
      </c>
      <c r="J22" s="63">
        <f>E22*36%</f>
        <v>2305847.9699999997</v>
      </c>
      <c r="K22" s="66">
        <f t="shared" si="0"/>
        <v>4099285.2800000003</v>
      </c>
      <c r="L22" s="66"/>
      <c r="M22" s="66"/>
      <c r="N22" s="66"/>
      <c r="O22" s="66"/>
      <c r="P22" s="66"/>
      <c r="Q22" s="66"/>
      <c r="R22" s="68" t="s">
        <v>374</v>
      </c>
    </row>
    <row r="23" spans="1:18" ht="78.75" x14ac:dyDescent="0.25">
      <c r="A23" s="92" t="s">
        <v>71</v>
      </c>
      <c r="B23" s="322">
        <v>13</v>
      </c>
      <c r="C23" s="322" t="s">
        <v>94</v>
      </c>
      <c r="D23" s="75" t="s">
        <v>95</v>
      </c>
      <c r="E23" s="63">
        <v>197375605.38999999</v>
      </c>
      <c r="F23" s="64">
        <v>146788</v>
      </c>
      <c r="G23" s="65">
        <v>22.6</v>
      </c>
      <c r="H23" s="65">
        <v>22</v>
      </c>
      <c r="I23" s="65">
        <v>0.16</v>
      </c>
      <c r="J23" s="63">
        <f>E23*22%</f>
        <v>43422633.185799994</v>
      </c>
      <c r="K23" s="66">
        <f t="shared" si="0"/>
        <v>153952972.2042</v>
      </c>
      <c r="L23" s="66"/>
      <c r="M23" s="66"/>
      <c r="N23" s="66"/>
      <c r="O23" s="66"/>
      <c r="P23" s="66"/>
      <c r="Q23" s="66"/>
      <c r="R23" s="332" t="s">
        <v>376</v>
      </c>
    </row>
    <row r="24" spans="1:18" ht="175.5" customHeight="1" x14ac:dyDescent="0.25">
      <c r="A24" s="92" t="s">
        <v>71</v>
      </c>
      <c r="B24" s="322"/>
      <c r="C24" s="323"/>
      <c r="D24" s="75" t="s">
        <v>96</v>
      </c>
      <c r="E24" s="63">
        <v>99523210.739999995</v>
      </c>
      <c r="F24" s="64">
        <v>146788</v>
      </c>
      <c r="G24" s="65">
        <v>20.5</v>
      </c>
      <c r="H24" s="65">
        <v>17</v>
      </c>
      <c r="I24" s="65">
        <v>0.15</v>
      </c>
      <c r="J24" s="63">
        <f>E24*17%</f>
        <v>16918945.825800002</v>
      </c>
      <c r="K24" s="66">
        <f t="shared" si="0"/>
        <v>82604264.914199993</v>
      </c>
      <c r="L24" s="237" t="s">
        <v>377</v>
      </c>
      <c r="M24" s="237"/>
      <c r="N24" s="237"/>
      <c r="O24" s="237"/>
      <c r="P24" s="237"/>
      <c r="Q24" s="237"/>
      <c r="R24" s="332"/>
    </row>
    <row r="25" spans="1:18" ht="15.75" x14ac:dyDescent="0.25">
      <c r="A25" s="324" t="s">
        <v>203</v>
      </c>
      <c r="B25" s="325"/>
      <c r="C25" s="325"/>
      <c r="D25" s="326"/>
      <c r="E25" s="94">
        <f>SUM(E26:E28)</f>
        <v>41783210.68</v>
      </c>
      <c r="F25" s="70"/>
      <c r="G25" s="71"/>
      <c r="H25" s="72"/>
      <c r="I25" s="72"/>
      <c r="J25" s="94">
        <f>SUM(J26:J28)</f>
        <v>28845700.128800001</v>
      </c>
      <c r="K25" s="94">
        <f>SUM(K26:K28)</f>
        <v>12937510.551200001</v>
      </c>
      <c r="L25" s="195"/>
      <c r="M25" s="195"/>
      <c r="N25" s="195"/>
      <c r="O25" s="195"/>
      <c r="P25" s="195"/>
      <c r="Q25" s="195"/>
      <c r="R25" s="73"/>
    </row>
    <row r="26" spans="1:18" ht="179.25" customHeight="1" x14ac:dyDescent="0.25">
      <c r="A26" s="74" t="s">
        <v>71</v>
      </c>
      <c r="B26" s="294">
        <v>14</v>
      </c>
      <c r="C26" s="294" t="s">
        <v>97</v>
      </c>
      <c r="D26" s="75" t="s">
        <v>98</v>
      </c>
      <c r="E26" s="63">
        <v>3780910</v>
      </c>
      <c r="F26" s="63">
        <v>1500</v>
      </c>
      <c r="G26" s="65">
        <v>85</v>
      </c>
      <c r="H26" s="65">
        <v>71</v>
      </c>
      <c r="I26" s="65">
        <v>0.41</v>
      </c>
      <c r="J26" s="63">
        <f>E26*71%</f>
        <v>2684446.1</v>
      </c>
      <c r="K26" s="84">
        <f>E26-J26</f>
        <v>1096463.8999999999</v>
      </c>
      <c r="L26" s="84" t="s">
        <v>378</v>
      </c>
      <c r="M26" s="65" t="s">
        <v>541</v>
      </c>
      <c r="N26" s="66" t="s">
        <v>538</v>
      </c>
      <c r="O26" s="66">
        <v>1890455.05</v>
      </c>
      <c r="P26" s="84"/>
      <c r="Q26" s="305">
        <v>44316</v>
      </c>
      <c r="R26" s="95" t="s">
        <v>379</v>
      </c>
    </row>
    <row r="27" spans="1:18" ht="162" customHeight="1" x14ac:dyDescent="0.25">
      <c r="A27" s="77" t="s">
        <v>71</v>
      </c>
      <c r="B27" s="61">
        <v>15</v>
      </c>
      <c r="C27" s="61" t="s">
        <v>99</v>
      </c>
      <c r="D27" s="75" t="s">
        <v>100</v>
      </c>
      <c r="E27" s="63">
        <v>35991186</v>
      </c>
      <c r="F27" s="64">
        <v>12028</v>
      </c>
      <c r="G27" s="65">
        <v>81</v>
      </c>
      <c r="H27" s="65">
        <v>69</v>
      </c>
      <c r="I27" s="65">
        <v>0.56000000000000005</v>
      </c>
      <c r="J27" s="63">
        <f>E27*69%</f>
        <v>24833918.34</v>
      </c>
      <c r="K27" s="84">
        <f>E27-J27</f>
        <v>11157267.66</v>
      </c>
      <c r="L27" s="84" t="s">
        <v>380</v>
      </c>
      <c r="M27" s="65" t="s">
        <v>539</v>
      </c>
      <c r="N27" s="66" t="s">
        <v>538</v>
      </c>
      <c r="O27" s="66">
        <v>17995593.039999999</v>
      </c>
      <c r="P27" s="84"/>
      <c r="Q27" s="300">
        <v>43708</v>
      </c>
      <c r="R27" s="68" t="s">
        <v>381</v>
      </c>
    </row>
    <row r="28" spans="1:18" ht="112.5" customHeight="1" x14ac:dyDescent="0.25">
      <c r="A28" s="50"/>
      <c r="B28" s="61">
        <v>16</v>
      </c>
      <c r="C28" s="61" t="s">
        <v>101</v>
      </c>
      <c r="D28" s="75" t="s">
        <v>93</v>
      </c>
      <c r="E28" s="63">
        <v>2011114.68</v>
      </c>
      <c r="F28" s="64">
        <v>300000</v>
      </c>
      <c r="G28" s="65">
        <v>77.86</v>
      </c>
      <c r="H28" s="65">
        <v>66</v>
      </c>
      <c r="I28" s="65">
        <v>0.48</v>
      </c>
      <c r="J28" s="63">
        <f>E28*66%</f>
        <v>1327335.6888000001</v>
      </c>
      <c r="K28" s="84">
        <f>E28-J28</f>
        <v>683778.99119999981</v>
      </c>
      <c r="L28" s="84"/>
      <c r="M28" s="84"/>
      <c r="N28" s="84"/>
      <c r="O28" s="84"/>
      <c r="P28" s="84"/>
      <c r="Q28" s="84"/>
      <c r="R28" s="68" t="s">
        <v>268</v>
      </c>
    </row>
    <row r="29" spans="1:18" ht="15.75" x14ac:dyDescent="0.25">
      <c r="A29" s="50"/>
      <c r="B29" s="320" t="s">
        <v>224</v>
      </c>
      <c r="C29" s="321"/>
      <c r="D29" s="321"/>
      <c r="E29" s="96">
        <f>SUM(E30:E31)</f>
        <v>7649416.2000000002</v>
      </c>
      <c r="F29" s="97"/>
      <c r="G29" s="7"/>
      <c r="H29" s="98"/>
      <c r="I29" s="98"/>
      <c r="J29" s="98">
        <f>SUM(J30:J31)</f>
        <v>6838615.4460000005</v>
      </c>
      <c r="K29" s="98">
        <f>SUM(K30:K31)</f>
        <v>810800.75399999996</v>
      </c>
      <c r="L29" s="98"/>
      <c r="M29" s="98"/>
      <c r="N29" s="98"/>
      <c r="O29" s="98"/>
      <c r="P29" s="98"/>
      <c r="Q29" s="98"/>
      <c r="R29" s="99"/>
    </row>
    <row r="30" spans="1:18" ht="89.25" x14ac:dyDescent="0.25">
      <c r="A30" s="50"/>
      <c r="B30" s="294">
        <v>17</v>
      </c>
      <c r="C30" s="294" t="s">
        <v>102</v>
      </c>
      <c r="D30" s="75" t="s">
        <v>103</v>
      </c>
      <c r="E30" s="63">
        <v>1529416.2</v>
      </c>
      <c r="F30" s="63">
        <v>3419</v>
      </c>
      <c r="G30" s="65">
        <v>97.2</v>
      </c>
      <c r="H30" s="65">
        <v>83</v>
      </c>
      <c r="I30" s="65">
        <v>0.83</v>
      </c>
      <c r="J30" s="63">
        <f>E30*83%</f>
        <v>1269415.446</v>
      </c>
      <c r="K30" s="84">
        <f>E30-J30</f>
        <v>260000.75399999996</v>
      </c>
      <c r="L30" s="84"/>
      <c r="M30" s="65" t="s">
        <v>537</v>
      </c>
      <c r="N30" s="66" t="s">
        <v>538</v>
      </c>
      <c r="O30" s="66">
        <v>764708.1</v>
      </c>
      <c r="P30" s="66" t="s">
        <v>534</v>
      </c>
      <c r="Q30" s="305">
        <v>44083</v>
      </c>
      <c r="R30" s="67" t="s">
        <v>270</v>
      </c>
    </row>
    <row r="31" spans="1:18" ht="114.75" x14ac:dyDescent="0.25">
      <c r="A31" s="50"/>
      <c r="B31" s="294">
        <v>18</v>
      </c>
      <c r="C31" s="294" t="s">
        <v>102</v>
      </c>
      <c r="D31" s="100" t="s">
        <v>104</v>
      </c>
      <c r="E31" s="63">
        <v>6120000</v>
      </c>
      <c r="F31" s="63">
        <v>3419</v>
      </c>
      <c r="G31" s="65">
        <v>97</v>
      </c>
      <c r="H31" s="65">
        <v>91</v>
      </c>
      <c r="I31" s="65">
        <v>0.91</v>
      </c>
      <c r="J31" s="63">
        <f>E31*91%</f>
        <v>5569200</v>
      </c>
      <c r="K31" s="84">
        <f>E31-J31</f>
        <v>550800</v>
      </c>
      <c r="L31" s="67" t="s">
        <v>269</v>
      </c>
      <c r="M31" s="65" t="s">
        <v>549</v>
      </c>
      <c r="N31" s="66" t="s">
        <v>538</v>
      </c>
      <c r="O31" s="66">
        <v>3060000</v>
      </c>
      <c r="P31" s="67"/>
      <c r="Q31" s="305">
        <v>43647</v>
      </c>
      <c r="R31" s="68" t="s">
        <v>271</v>
      </c>
    </row>
    <row r="32" spans="1:18" ht="15.75" x14ac:dyDescent="0.25">
      <c r="A32" s="320" t="s">
        <v>205</v>
      </c>
      <c r="B32" s="327"/>
      <c r="C32" s="327"/>
      <c r="D32" s="328"/>
      <c r="E32" s="103">
        <f>SUM(E33:E44)</f>
        <v>342314842.25</v>
      </c>
      <c r="F32" s="98"/>
      <c r="G32" s="99"/>
      <c r="H32" s="102"/>
      <c r="I32" s="104"/>
      <c r="J32" s="98">
        <f>SUM(J33:J44)</f>
        <v>129244201.11009997</v>
      </c>
      <c r="K32" s="98">
        <f>SUM(K33:K44)</f>
        <v>213070641.1399</v>
      </c>
      <c r="L32" s="196"/>
      <c r="M32" s="196"/>
      <c r="N32" s="196"/>
      <c r="O32" s="196"/>
      <c r="P32" s="196"/>
      <c r="Q32" s="196"/>
      <c r="R32" s="105"/>
    </row>
    <row r="33" spans="1:18" ht="216.75" x14ac:dyDescent="0.25">
      <c r="A33" s="106" t="s">
        <v>106</v>
      </c>
      <c r="B33" s="294">
        <v>19</v>
      </c>
      <c r="C33" s="294" t="s">
        <v>107</v>
      </c>
      <c r="D33" s="75" t="s">
        <v>108</v>
      </c>
      <c r="E33" s="63">
        <v>36973504</v>
      </c>
      <c r="F33" s="64">
        <v>55375</v>
      </c>
      <c r="G33" s="65">
        <v>78</v>
      </c>
      <c r="H33" s="65">
        <v>44</v>
      </c>
      <c r="I33" s="65">
        <v>0.35</v>
      </c>
      <c r="J33" s="63">
        <f>E33*44%</f>
        <v>16268341.76</v>
      </c>
      <c r="K33" s="84">
        <f t="shared" ref="K33:K44" si="1">E33-J33</f>
        <v>20705162.240000002</v>
      </c>
      <c r="L33" s="67" t="s">
        <v>382</v>
      </c>
      <c r="M33" s="65" t="s">
        <v>540</v>
      </c>
      <c r="N33" s="66" t="s">
        <v>538</v>
      </c>
      <c r="O33" s="66">
        <v>17533685.52</v>
      </c>
      <c r="P33" s="67"/>
      <c r="Q33" s="305">
        <v>44626</v>
      </c>
      <c r="R33" s="68" t="s">
        <v>283</v>
      </c>
    </row>
    <row r="34" spans="1:18" ht="131.25" customHeight="1" x14ac:dyDescent="0.25">
      <c r="A34" s="107" t="s">
        <v>109</v>
      </c>
      <c r="B34" s="294">
        <v>20</v>
      </c>
      <c r="C34" s="294" t="s">
        <v>110</v>
      </c>
      <c r="D34" s="75" t="s">
        <v>111</v>
      </c>
      <c r="E34" s="63">
        <v>10469396.699999999</v>
      </c>
      <c r="F34" s="64">
        <v>1447969</v>
      </c>
      <c r="G34" s="65">
        <v>30</v>
      </c>
      <c r="H34" s="65">
        <v>15</v>
      </c>
      <c r="I34" s="65">
        <v>0.15</v>
      </c>
      <c r="J34" s="63">
        <f>E34*0.15</f>
        <v>1570409.5049999999</v>
      </c>
      <c r="K34" s="84">
        <f t="shared" si="1"/>
        <v>8898987.1950000003</v>
      </c>
      <c r="L34" s="84"/>
      <c r="M34" s="65" t="s">
        <v>547</v>
      </c>
      <c r="N34" s="66" t="s">
        <v>538</v>
      </c>
      <c r="O34" s="66">
        <v>6805107.8799999999</v>
      </c>
      <c r="P34" s="84"/>
      <c r="Q34" s="305">
        <v>44180</v>
      </c>
      <c r="R34" s="68" t="s">
        <v>272</v>
      </c>
    </row>
    <row r="35" spans="1:18" ht="109.5" customHeight="1" x14ac:dyDescent="0.25">
      <c r="A35" s="107" t="s">
        <v>109</v>
      </c>
      <c r="B35" s="61">
        <v>21</v>
      </c>
      <c r="C35" s="61" t="s">
        <v>112</v>
      </c>
      <c r="D35" s="75" t="s">
        <v>113</v>
      </c>
      <c r="E35" s="63">
        <v>6415872</v>
      </c>
      <c r="F35" s="64">
        <f>22097+52335</f>
        <v>74432</v>
      </c>
      <c r="G35" s="65">
        <v>90</v>
      </c>
      <c r="H35" s="65">
        <v>79</v>
      </c>
      <c r="I35" s="65">
        <v>0.79</v>
      </c>
      <c r="J35" s="63">
        <f>E35*0.79</f>
        <v>5068538.88</v>
      </c>
      <c r="K35" s="84">
        <f t="shared" si="1"/>
        <v>1347333.1200000001</v>
      </c>
      <c r="L35" s="67" t="s">
        <v>383</v>
      </c>
      <c r="M35" s="67"/>
      <c r="N35" s="67"/>
      <c r="O35" s="67"/>
      <c r="P35" s="67"/>
      <c r="Q35" s="67"/>
      <c r="R35" s="68" t="s">
        <v>384</v>
      </c>
    </row>
    <row r="36" spans="1:18" ht="117.75" customHeight="1" x14ac:dyDescent="0.25">
      <c r="A36" s="107" t="s">
        <v>109</v>
      </c>
      <c r="B36" s="61">
        <v>22</v>
      </c>
      <c r="C36" s="61" t="s">
        <v>114</v>
      </c>
      <c r="D36" s="75" t="s">
        <v>115</v>
      </c>
      <c r="E36" s="63">
        <v>7856326</v>
      </c>
      <c r="F36" s="64">
        <v>64054</v>
      </c>
      <c r="G36" s="65">
        <v>99</v>
      </c>
      <c r="H36" s="65">
        <v>85</v>
      </c>
      <c r="I36" s="65">
        <v>0.85</v>
      </c>
      <c r="J36" s="63">
        <f>E36*I36</f>
        <v>6677877.0999999996</v>
      </c>
      <c r="K36" s="84">
        <f t="shared" si="1"/>
        <v>1178448.9000000004</v>
      </c>
      <c r="L36" s="67" t="s">
        <v>385</v>
      </c>
      <c r="M36" s="67"/>
      <c r="N36" s="67"/>
      <c r="O36" s="67"/>
      <c r="P36" s="67"/>
      <c r="Q36" s="67"/>
      <c r="R36" s="68" t="s">
        <v>386</v>
      </c>
    </row>
    <row r="37" spans="1:18" ht="138.75" customHeight="1" x14ac:dyDescent="0.25">
      <c r="A37" s="107" t="s">
        <v>109</v>
      </c>
      <c r="B37" s="61">
        <v>23</v>
      </c>
      <c r="C37" s="61" t="s">
        <v>116</v>
      </c>
      <c r="D37" s="75" t="s">
        <v>117</v>
      </c>
      <c r="E37" s="63">
        <v>8764171</v>
      </c>
      <c r="F37" s="64">
        <v>96707</v>
      </c>
      <c r="G37" s="65">
        <v>85</v>
      </c>
      <c r="H37" s="65">
        <v>63</v>
      </c>
      <c r="I37" s="65">
        <v>0.38</v>
      </c>
      <c r="J37" s="63">
        <f>E37*I37</f>
        <v>3330384.98</v>
      </c>
      <c r="K37" s="84">
        <f t="shared" si="1"/>
        <v>5433786.0199999996</v>
      </c>
      <c r="L37" s="67" t="s">
        <v>387</v>
      </c>
      <c r="M37" s="67"/>
      <c r="N37" s="67"/>
      <c r="O37" s="67"/>
      <c r="P37" s="67"/>
      <c r="Q37" s="67"/>
      <c r="R37" s="68" t="s">
        <v>388</v>
      </c>
    </row>
    <row r="38" spans="1:18" ht="102" x14ac:dyDescent="0.25">
      <c r="A38" s="108" t="s">
        <v>71</v>
      </c>
      <c r="B38" s="61">
        <v>24</v>
      </c>
      <c r="C38" s="61" t="s">
        <v>118</v>
      </c>
      <c r="D38" s="75" t="s">
        <v>119</v>
      </c>
      <c r="E38" s="63">
        <v>7548879.9100000001</v>
      </c>
      <c r="F38" s="64">
        <v>10000</v>
      </c>
      <c r="G38" s="65">
        <v>95</v>
      </c>
      <c r="H38" s="65">
        <v>85</v>
      </c>
      <c r="I38" s="65">
        <v>0.66</v>
      </c>
      <c r="J38" s="63">
        <f>E38*85%</f>
        <v>6416547.9234999996</v>
      </c>
      <c r="K38" s="84">
        <f t="shared" si="1"/>
        <v>1132331.9865000006</v>
      </c>
      <c r="L38" s="67" t="s">
        <v>284</v>
      </c>
      <c r="M38" s="67"/>
      <c r="N38" s="67"/>
      <c r="O38" s="67"/>
      <c r="P38" s="67"/>
      <c r="Q38" s="67"/>
      <c r="R38" s="68" t="s">
        <v>389</v>
      </c>
    </row>
    <row r="39" spans="1:18" ht="121.5" customHeight="1" x14ac:dyDescent="0.25">
      <c r="A39" s="108" t="s">
        <v>71</v>
      </c>
      <c r="B39" s="61">
        <v>25</v>
      </c>
      <c r="C39" s="61" t="s">
        <v>120</v>
      </c>
      <c r="D39" s="75" t="s">
        <v>121</v>
      </c>
      <c r="E39" s="63">
        <v>15688988</v>
      </c>
      <c r="F39" s="64">
        <v>2500</v>
      </c>
      <c r="G39" s="65">
        <v>34.630000000000003</v>
      </c>
      <c r="H39" s="65">
        <v>27</v>
      </c>
      <c r="I39" s="65">
        <v>0.22</v>
      </c>
      <c r="J39" s="63">
        <f>E39*27%</f>
        <v>4236026.7600000007</v>
      </c>
      <c r="K39" s="84">
        <f t="shared" si="1"/>
        <v>11452961.239999998</v>
      </c>
      <c r="L39" s="84"/>
      <c r="M39" s="84"/>
      <c r="N39" s="84"/>
      <c r="O39" s="84"/>
      <c r="P39" s="84"/>
      <c r="Q39" s="84"/>
      <c r="R39" s="68" t="s">
        <v>285</v>
      </c>
    </row>
    <row r="40" spans="1:18" ht="114.75" customHeight="1" x14ac:dyDescent="0.25">
      <c r="A40" s="108" t="s">
        <v>71</v>
      </c>
      <c r="B40" s="109">
        <v>26</v>
      </c>
      <c r="C40" s="110" t="s">
        <v>122</v>
      </c>
      <c r="D40" s="111" t="s">
        <v>123</v>
      </c>
      <c r="E40" s="112">
        <v>238927642</v>
      </c>
      <c r="F40" s="113">
        <v>143627</v>
      </c>
      <c r="G40" s="114">
        <v>40</v>
      </c>
      <c r="H40" s="114">
        <v>35.72</v>
      </c>
      <c r="I40" s="114">
        <v>0.3</v>
      </c>
      <c r="J40" s="63">
        <f>E40*35%</f>
        <v>83624674.699999988</v>
      </c>
      <c r="K40" s="84">
        <f t="shared" si="1"/>
        <v>155302967.30000001</v>
      </c>
      <c r="L40" s="84"/>
      <c r="M40" s="297"/>
      <c r="N40" s="297"/>
      <c r="O40" s="297"/>
      <c r="P40" s="297"/>
      <c r="Q40" s="297"/>
      <c r="R40" s="115" t="s">
        <v>390</v>
      </c>
    </row>
    <row r="41" spans="1:18" ht="102" x14ac:dyDescent="0.25">
      <c r="A41" s="108" t="s">
        <v>71</v>
      </c>
      <c r="B41" s="61">
        <v>27</v>
      </c>
      <c r="C41" s="200" t="s">
        <v>124</v>
      </c>
      <c r="D41" s="75" t="s">
        <v>125</v>
      </c>
      <c r="E41" s="63">
        <v>749000</v>
      </c>
      <c r="F41" s="64">
        <v>5800</v>
      </c>
      <c r="G41" s="65">
        <v>45</v>
      </c>
      <c r="H41" s="65">
        <v>35.81</v>
      </c>
      <c r="I41" s="65">
        <v>0.6</v>
      </c>
      <c r="J41" s="63">
        <f>E41*35%</f>
        <v>262150</v>
      </c>
      <c r="K41" s="84">
        <f t="shared" si="1"/>
        <v>486850</v>
      </c>
      <c r="L41" s="67" t="s">
        <v>391</v>
      </c>
      <c r="M41" s="67"/>
      <c r="N41" s="67"/>
      <c r="O41" s="67"/>
      <c r="P41" s="67"/>
      <c r="Q41" s="67"/>
      <c r="R41" s="68" t="s">
        <v>406</v>
      </c>
    </row>
    <row r="42" spans="1:18" ht="89.25" x14ac:dyDescent="0.25">
      <c r="A42" s="108"/>
      <c r="B42" s="61">
        <v>28</v>
      </c>
      <c r="C42" s="200" t="s">
        <v>126</v>
      </c>
      <c r="D42" s="75" t="s">
        <v>127</v>
      </c>
      <c r="E42" s="63">
        <v>1012000</v>
      </c>
      <c r="F42" s="64">
        <v>3000</v>
      </c>
      <c r="G42" s="65">
        <v>70</v>
      </c>
      <c r="H42" s="65">
        <v>57.64</v>
      </c>
      <c r="I42" s="65">
        <v>0.25</v>
      </c>
      <c r="J42" s="63">
        <f>E42*57%</f>
        <v>576840</v>
      </c>
      <c r="K42" s="84">
        <f t="shared" si="1"/>
        <v>435160</v>
      </c>
      <c r="L42" s="67" t="s">
        <v>392</v>
      </c>
      <c r="M42" s="67"/>
      <c r="N42" s="67"/>
      <c r="O42" s="67"/>
      <c r="P42" s="67"/>
      <c r="Q42" s="67"/>
      <c r="R42" s="68" t="s">
        <v>408</v>
      </c>
    </row>
    <row r="43" spans="1:18" ht="114" customHeight="1" x14ac:dyDescent="0.25">
      <c r="A43" s="108"/>
      <c r="B43" s="200">
        <v>29</v>
      </c>
      <c r="C43" s="203" t="s">
        <v>288</v>
      </c>
      <c r="D43" s="11" t="s">
        <v>130</v>
      </c>
      <c r="E43" s="116">
        <v>1527960</v>
      </c>
      <c r="F43" s="64"/>
      <c r="G43" s="117">
        <v>5</v>
      </c>
      <c r="H43" s="117">
        <v>0</v>
      </c>
      <c r="I43" s="117"/>
      <c r="J43" s="63">
        <v>0</v>
      </c>
      <c r="K43" s="84">
        <f t="shared" si="1"/>
        <v>1527960</v>
      </c>
      <c r="L43" s="67" t="s">
        <v>393</v>
      </c>
      <c r="M43" s="67"/>
      <c r="N43" s="67"/>
      <c r="O43" s="67"/>
      <c r="P43" s="67"/>
      <c r="Q43" s="67"/>
      <c r="R43" s="95" t="s">
        <v>407</v>
      </c>
    </row>
    <row r="44" spans="1:18" ht="115.5" customHeight="1" x14ac:dyDescent="0.25">
      <c r="A44" s="108"/>
      <c r="B44" s="61">
        <v>30</v>
      </c>
      <c r="C44" s="61" t="s">
        <v>131</v>
      </c>
      <c r="D44" s="75" t="s">
        <v>132</v>
      </c>
      <c r="E44" s="63">
        <v>6381102.6399999997</v>
      </c>
      <c r="F44" s="64"/>
      <c r="G44" s="117">
        <v>36</v>
      </c>
      <c r="H44" s="117">
        <v>19</v>
      </c>
      <c r="I44" s="117">
        <v>0.3</v>
      </c>
      <c r="J44" s="63">
        <f>E44*19%</f>
        <v>1212409.5015999998</v>
      </c>
      <c r="K44" s="84">
        <f t="shared" si="1"/>
        <v>5168693.1383999996</v>
      </c>
      <c r="L44" s="95"/>
      <c r="M44" s="95"/>
      <c r="N44" s="95"/>
      <c r="O44" s="95"/>
      <c r="P44" s="95"/>
      <c r="Q44" s="95"/>
      <c r="R44" s="68" t="s">
        <v>286</v>
      </c>
    </row>
    <row r="45" spans="1:18" ht="15.75" x14ac:dyDescent="0.25">
      <c r="A45" s="108"/>
      <c r="B45" s="329" t="s">
        <v>135</v>
      </c>
      <c r="C45" s="330"/>
      <c r="D45" s="331"/>
      <c r="E45" s="69">
        <f>SUM(E46)</f>
        <v>2645291.1</v>
      </c>
      <c r="F45" s="72"/>
      <c r="G45" s="70"/>
      <c r="H45" s="71"/>
      <c r="I45" s="72"/>
      <c r="J45" s="69">
        <f>SUM(J46)</f>
        <v>529058.22000000009</v>
      </c>
      <c r="K45" s="69">
        <f>SUM(K46)</f>
        <v>2116232.88</v>
      </c>
      <c r="L45" s="194"/>
      <c r="M45" s="194"/>
      <c r="N45" s="194"/>
      <c r="O45" s="194"/>
      <c r="P45" s="194"/>
      <c r="Q45" s="194"/>
      <c r="R45" s="73"/>
    </row>
    <row r="46" spans="1:18" ht="89.25" x14ac:dyDescent="0.25">
      <c r="A46" s="108"/>
      <c r="B46" s="61">
        <v>31</v>
      </c>
      <c r="C46" s="61" t="s">
        <v>136</v>
      </c>
      <c r="D46" s="75" t="s">
        <v>137</v>
      </c>
      <c r="E46" s="63">
        <v>2645291.1</v>
      </c>
      <c r="F46" s="64">
        <v>3873</v>
      </c>
      <c r="G46" s="65">
        <v>18</v>
      </c>
      <c r="H46" s="65">
        <v>20</v>
      </c>
      <c r="I46" s="65">
        <v>0.18</v>
      </c>
      <c r="J46" s="63">
        <f>E46*0.2</f>
        <v>529058.22000000009</v>
      </c>
      <c r="K46" s="84">
        <f>E46-J46</f>
        <v>2116232.88</v>
      </c>
      <c r="L46" s="95" t="s">
        <v>273</v>
      </c>
      <c r="M46" s="95"/>
      <c r="N46" s="95"/>
      <c r="O46" s="95"/>
      <c r="P46" s="95"/>
      <c r="Q46" s="95"/>
      <c r="R46" s="68" t="s">
        <v>394</v>
      </c>
    </row>
    <row r="47" spans="1:18" ht="19.5" customHeight="1" x14ac:dyDescent="0.25">
      <c r="A47" s="108" t="s">
        <v>71</v>
      </c>
      <c r="B47" s="320" t="s">
        <v>138</v>
      </c>
      <c r="C47" s="321"/>
      <c r="D47" s="321"/>
      <c r="E47" s="69">
        <f>SUM(E48:E56)</f>
        <v>242522422.80000001</v>
      </c>
      <c r="F47" s="94"/>
      <c r="G47" s="70"/>
      <c r="H47" s="71"/>
      <c r="I47" s="72"/>
      <c r="J47" s="69">
        <f>SUM(J48:J56)</f>
        <v>42982813.645000011</v>
      </c>
      <c r="K47" s="69">
        <f>SUM(K48:K56)</f>
        <v>199539609.65500003</v>
      </c>
      <c r="L47" s="194"/>
      <c r="M47" s="194"/>
      <c r="N47" s="194"/>
      <c r="O47" s="194"/>
      <c r="P47" s="194"/>
      <c r="Q47" s="194"/>
      <c r="R47" s="73"/>
    </row>
    <row r="48" spans="1:18" ht="156.75" customHeight="1" x14ac:dyDescent="0.25">
      <c r="A48" s="107" t="s">
        <v>109</v>
      </c>
      <c r="B48" s="61">
        <v>32</v>
      </c>
      <c r="C48" s="61" t="s">
        <v>139</v>
      </c>
      <c r="D48" s="63" t="s">
        <v>140</v>
      </c>
      <c r="E48" s="64">
        <v>10743536</v>
      </c>
      <c r="F48" s="64">
        <v>23783</v>
      </c>
      <c r="G48" s="65">
        <v>100</v>
      </c>
      <c r="H48" s="65">
        <v>85</v>
      </c>
      <c r="I48" s="65">
        <v>0.85</v>
      </c>
      <c r="J48" s="63">
        <f>E48*I48</f>
        <v>9132005.5999999996</v>
      </c>
      <c r="K48" s="84">
        <f>E48-J48</f>
        <v>1611530.4000000004</v>
      </c>
      <c r="L48" s="84"/>
      <c r="M48" s="84"/>
      <c r="N48" s="84"/>
      <c r="O48" s="84"/>
      <c r="P48" s="84"/>
      <c r="Q48" s="84"/>
      <c r="R48" s="68" t="s">
        <v>287</v>
      </c>
    </row>
    <row r="49" spans="1:18" ht="178.5" x14ac:dyDescent="0.25">
      <c r="A49" s="107"/>
      <c r="B49" s="61">
        <v>33</v>
      </c>
      <c r="C49" s="61" t="s">
        <v>141</v>
      </c>
      <c r="D49" s="63" t="s">
        <v>142</v>
      </c>
      <c r="E49" s="64">
        <v>211807516.99000001</v>
      </c>
      <c r="F49" s="64">
        <v>192051</v>
      </c>
      <c r="G49" s="65">
        <v>21.3</v>
      </c>
      <c r="H49" s="65">
        <v>15</v>
      </c>
      <c r="I49" s="65">
        <v>0.13</v>
      </c>
      <c r="J49" s="63">
        <f>E49*15%</f>
        <v>31771127.548500001</v>
      </c>
      <c r="K49" s="84">
        <f>E49-J49</f>
        <v>180036389.44150001</v>
      </c>
      <c r="L49" s="84"/>
      <c r="M49" s="84"/>
      <c r="N49" s="84"/>
      <c r="O49" s="84"/>
      <c r="P49" s="84"/>
      <c r="Q49" s="84"/>
      <c r="R49" s="68" t="s">
        <v>395</v>
      </c>
    </row>
    <row r="50" spans="1:18" ht="114.75" x14ac:dyDescent="0.25">
      <c r="B50" s="61">
        <v>34</v>
      </c>
      <c r="C50" s="61" t="s">
        <v>143</v>
      </c>
      <c r="D50" s="63" t="s">
        <v>144</v>
      </c>
      <c r="E50" s="64">
        <v>1872418.31</v>
      </c>
      <c r="F50" s="64">
        <v>3353</v>
      </c>
      <c r="G50" s="65">
        <v>24</v>
      </c>
      <c r="H50" s="65">
        <v>15</v>
      </c>
      <c r="I50" s="65">
        <v>0.15</v>
      </c>
      <c r="J50" s="63">
        <f>E50*15%</f>
        <v>280862.74650000001</v>
      </c>
      <c r="K50" s="84">
        <f>E50-J50</f>
        <v>1591555.5635000002</v>
      </c>
      <c r="L50" s="95" t="s">
        <v>397</v>
      </c>
      <c r="M50" s="95"/>
      <c r="N50" s="95"/>
      <c r="O50" s="95"/>
      <c r="P50" s="95"/>
      <c r="Q50" s="95"/>
      <c r="R50" s="68" t="s">
        <v>396</v>
      </c>
    </row>
    <row r="51" spans="1:18" ht="127.5" x14ac:dyDescent="0.25">
      <c r="A51" s="108" t="s">
        <v>71</v>
      </c>
      <c r="B51" s="61">
        <v>35</v>
      </c>
      <c r="C51" s="200" t="s">
        <v>145</v>
      </c>
      <c r="D51" s="63" t="s">
        <v>146</v>
      </c>
      <c r="E51" s="64">
        <v>108154.5</v>
      </c>
      <c r="F51" s="64"/>
      <c r="G51" s="65">
        <v>5</v>
      </c>
      <c r="H51" s="65">
        <v>0</v>
      </c>
      <c r="I51" s="65"/>
      <c r="J51" s="63">
        <v>0</v>
      </c>
      <c r="K51" s="84">
        <v>108155</v>
      </c>
      <c r="L51" s="84"/>
      <c r="M51" s="84"/>
      <c r="N51" s="84"/>
      <c r="O51" s="84"/>
      <c r="P51" s="84"/>
      <c r="Q51" s="84"/>
      <c r="R51" s="68" t="s">
        <v>398</v>
      </c>
    </row>
    <row r="52" spans="1:18" ht="127.5" x14ac:dyDescent="0.25">
      <c r="A52" s="108"/>
      <c r="B52" s="61">
        <v>36</v>
      </c>
      <c r="C52" s="200" t="s">
        <v>147</v>
      </c>
      <c r="D52" s="63" t="s">
        <v>148</v>
      </c>
      <c r="E52" s="64">
        <v>84316</v>
      </c>
      <c r="F52" s="64"/>
      <c r="G52" s="65">
        <v>5</v>
      </c>
      <c r="H52" s="65">
        <v>0</v>
      </c>
      <c r="I52" s="65"/>
      <c r="J52" s="63">
        <v>0</v>
      </c>
      <c r="K52" s="84">
        <v>84316</v>
      </c>
      <c r="L52" s="84"/>
      <c r="M52" s="84"/>
      <c r="N52" s="84"/>
      <c r="O52" s="84"/>
      <c r="P52" s="84"/>
      <c r="Q52" s="84"/>
      <c r="R52" s="68" t="s">
        <v>399</v>
      </c>
    </row>
    <row r="53" spans="1:18" ht="89.25" x14ac:dyDescent="0.25">
      <c r="A53" s="108"/>
      <c r="B53" s="61">
        <v>37</v>
      </c>
      <c r="C53" s="61" t="s">
        <v>143</v>
      </c>
      <c r="D53" s="63" t="s">
        <v>149</v>
      </c>
      <c r="E53" s="64">
        <v>4178410</v>
      </c>
      <c r="F53" s="64">
        <v>3353</v>
      </c>
      <c r="G53" s="65">
        <v>85</v>
      </c>
      <c r="H53" s="65">
        <v>22</v>
      </c>
      <c r="I53" s="65">
        <v>0.22</v>
      </c>
      <c r="J53" s="63">
        <f>E53*22%</f>
        <v>919250.2</v>
      </c>
      <c r="K53" s="84">
        <f>E53-J53</f>
        <v>3259159.8</v>
      </c>
      <c r="L53" s="95" t="s">
        <v>275</v>
      </c>
      <c r="M53" s="95"/>
      <c r="N53" s="95"/>
      <c r="O53" s="95"/>
      <c r="P53" s="95"/>
      <c r="Q53" s="95"/>
      <c r="R53" s="68" t="s">
        <v>274</v>
      </c>
    </row>
    <row r="54" spans="1:18" ht="63.75" x14ac:dyDescent="0.25">
      <c r="A54" s="108"/>
      <c r="B54" s="61">
        <v>38</v>
      </c>
      <c r="C54" s="61" t="s">
        <v>215</v>
      </c>
      <c r="D54" s="63" t="s">
        <v>214</v>
      </c>
      <c r="E54" s="64">
        <v>8985787</v>
      </c>
      <c r="F54" s="64">
        <v>13281</v>
      </c>
      <c r="G54" s="65">
        <v>16</v>
      </c>
      <c r="H54" s="65">
        <v>5</v>
      </c>
      <c r="I54" s="139"/>
      <c r="J54" s="63">
        <f>E54*5%</f>
        <v>449289.35000000003</v>
      </c>
      <c r="K54" s="84">
        <f>E54-J54</f>
        <v>8536497.6500000004</v>
      </c>
      <c r="L54" s="84"/>
      <c r="M54" s="84"/>
      <c r="N54" s="84"/>
      <c r="O54" s="84"/>
      <c r="P54" s="84"/>
      <c r="Q54" s="84"/>
      <c r="R54" s="68" t="s">
        <v>216</v>
      </c>
    </row>
    <row r="55" spans="1:18" ht="102" x14ac:dyDescent="0.25">
      <c r="A55" s="108"/>
      <c r="B55" s="61">
        <v>39</v>
      </c>
      <c r="C55" s="61" t="s">
        <v>150</v>
      </c>
      <c r="D55" s="63" t="s">
        <v>151</v>
      </c>
      <c r="E55" s="64">
        <v>3132584</v>
      </c>
      <c r="F55" s="64">
        <v>350000</v>
      </c>
      <c r="G55" s="65">
        <v>36</v>
      </c>
      <c r="H55" s="65">
        <v>15</v>
      </c>
      <c r="I55" s="65">
        <v>0.11</v>
      </c>
      <c r="J55" s="63">
        <f>E55*5%</f>
        <v>156629.20000000001</v>
      </c>
      <c r="K55" s="84">
        <f>E55-J55</f>
        <v>2975954.8</v>
      </c>
      <c r="L55" s="84"/>
      <c r="M55" s="84"/>
      <c r="N55" s="84"/>
      <c r="O55" s="84"/>
      <c r="P55" s="84"/>
      <c r="Q55" s="84"/>
      <c r="R55" s="68" t="s">
        <v>276</v>
      </c>
    </row>
    <row r="56" spans="1:18" ht="89.25" x14ac:dyDescent="0.25">
      <c r="A56" s="108"/>
      <c r="B56" s="61">
        <v>40</v>
      </c>
      <c r="C56" s="61" t="s">
        <v>152</v>
      </c>
      <c r="D56" s="61" t="s">
        <v>153</v>
      </c>
      <c r="E56" s="63">
        <v>1609700</v>
      </c>
      <c r="F56" s="64"/>
      <c r="G56" s="65">
        <v>85</v>
      </c>
      <c r="H56" s="65">
        <v>17</v>
      </c>
      <c r="I56" s="65">
        <v>0.17</v>
      </c>
      <c r="J56" s="63">
        <f>E56*I56</f>
        <v>273649</v>
      </c>
      <c r="K56" s="84">
        <f>E56-J56</f>
        <v>1336051</v>
      </c>
      <c r="L56" s="95" t="s">
        <v>278</v>
      </c>
      <c r="M56" s="95"/>
      <c r="N56" s="95"/>
      <c r="O56" s="95"/>
      <c r="P56" s="95"/>
      <c r="Q56" s="95"/>
      <c r="R56" s="68" t="s">
        <v>277</v>
      </c>
    </row>
    <row r="57" spans="1:18" ht="16.5" customHeight="1" x14ac:dyDescent="0.25">
      <c r="A57" s="118" t="s">
        <v>71</v>
      </c>
      <c r="B57" s="39"/>
      <c r="C57" s="39"/>
      <c r="D57" s="119" t="s">
        <v>154</v>
      </c>
      <c r="E57" s="103">
        <f>SUM(E58:E60)</f>
        <v>109024570.25</v>
      </c>
      <c r="F57" s="7"/>
      <c r="G57" s="98"/>
      <c r="H57" s="99"/>
      <c r="I57" s="101"/>
      <c r="J57" s="103">
        <f>SUM(J58:J60)</f>
        <v>52741776.422499999</v>
      </c>
      <c r="K57" s="103">
        <f>SUM(K58:K60)</f>
        <v>56282793.827500001</v>
      </c>
      <c r="L57" s="197"/>
      <c r="M57" s="197"/>
      <c r="N57" s="197"/>
      <c r="O57" s="197"/>
      <c r="P57" s="197"/>
      <c r="Q57" s="197"/>
      <c r="R57" s="101"/>
    </row>
    <row r="58" spans="1:18" ht="88.5" customHeight="1" x14ac:dyDescent="0.25">
      <c r="A58" s="108"/>
      <c r="B58" s="61">
        <v>41</v>
      </c>
      <c r="C58" s="61" t="s">
        <v>155</v>
      </c>
      <c r="D58" s="63" t="s">
        <v>156</v>
      </c>
      <c r="E58" s="64">
        <v>9395749</v>
      </c>
      <c r="F58" s="64">
        <v>84868</v>
      </c>
      <c r="G58" s="65">
        <v>54</v>
      </c>
      <c r="H58" s="65">
        <v>69</v>
      </c>
      <c r="I58" s="65">
        <v>0.37</v>
      </c>
      <c r="J58" s="63">
        <f>E58*69%</f>
        <v>6483066.8099999996</v>
      </c>
      <c r="K58" s="84">
        <f>E58-J58</f>
        <v>2912682.1900000004</v>
      </c>
      <c r="L58" s="84"/>
      <c r="M58" s="84"/>
      <c r="N58" s="84"/>
      <c r="O58" s="84"/>
      <c r="P58" s="84"/>
      <c r="Q58" s="84"/>
      <c r="R58" s="68" t="s">
        <v>279</v>
      </c>
    </row>
    <row r="59" spans="1:18" ht="85.5" customHeight="1" x14ac:dyDescent="0.25">
      <c r="A59" s="120"/>
      <c r="B59" s="61">
        <v>42</v>
      </c>
      <c r="C59" s="61" t="s">
        <v>157</v>
      </c>
      <c r="D59" s="63" t="s">
        <v>158</v>
      </c>
      <c r="E59" s="64">
        <v>95555278.25</v>
      </c>
      <c r="F59" s="64">
        <v>84868</v>
      </c>
      <c r="G59" s="65">
        <v>57</v>
      </c>
      <c r="H59" s="65">
        <v>45</v>
      </c>
      <c r="I59" s="65">
        <v>0.44</v>
      </c>
      <c r="J59" s="63">
        <f>E59*45%</f>
        <v>42999875.212499999</v>
      </c>
      <c r="K59" s="84">
        <f>E59-J59</f>
        <v>52555403.037500001</v>
      </c>
      <c r="L59" s="95" t="s">
        <v>282</v>
      </c>
      <c r="M59" s="95"/>
      <c r="N59" s="95"/>
      <c r="O59" s="95"/>
      <c r="P59" s="95"/>
      <c r="Q59" s="95"/>
      <c r="R59" s="68" t="s">
        <v>400</v>
      </c>
    </row>
    <row r="60" spans="1:18" ht="81.75" customHeight="1" x14ac:dyDescent="0.25">
      <c r="A60" s="108" t="s">
        <v>71</v>
      </c>
      <c r="B60" s="61">
        <v>43</v>
      </c>
      <c r="C60" s="61" t="s">
        <v>159</v>
      </c>
      <c r="D60" s="63" t="s">
        <v>160</v>
      </c>
      <c r="E60" s="64">
        <v>4073543</v>
      </c>
      <c r="F60" s="64">
        <v>4014</v>
      </c>
      <c r="G60" s="65">
        <v>90</v>
      </c>
      <c r="H60" s="65">
        <v>80</v>
      </c>
      <c r="I60" s="65">
        <v>0.73</v>
      </c>
      <c r="J60" s="63">
        <f>E60*80%</f>
        <v>3258834.4000000004</v>
      </c>
      <c r="K60" s="84">
        <f>E60-J60</f>
        <v>814708.59999999963</v>
      </c>
      <c r="L60" s="95" t="s">
        <v>280</v>
      </c>
      <c r="M60" s="95"/>
      <c r="N60" s="95"/>
      <c r="O60" s="95"/>
      <c r="P60" s="95"/>
      <c r="Q60" s="95"/>
      <c r="R60" s="68" t="s">
        <v>401</v>
      </c>
    </row>
  </sheetData>
  <sheetProtection formatCells="0" formatColumns="0" formatRows="0" insertColumns="0" insertRows="0" insertHyperlinks="0" deleteColumns="0" deleteRows="0" sort="0" autoFilter="0" pivotTables="0"/>
  <mergeCells count="17">
    <mergeCell ref="R23:R24"/>
    <mergeCell ref="A1:R1"/>
    <mergeCell ref="C2:R2"/>
    <mergeCell ref="A3:R3"/>
    <mergeCell ref="B4:R4"/>
    <mergeCell ref="A6:D6"/>
    <mergeCell ref="A7:D7"/>
    <mergeCell ref="B47:D47"/>
    <mergeCell ref="A10:D10"/>
    <mergeCell ref="A13:D13"/>
    <mergeCell ref="A15:D15"/>
    <mergeCell ref="B23:B24"/>
    <mergeCell ref="C23:C24"/>
    <mergeCell ref="A25:D25"/>
    <mergeCell ref="B29:D29"/>
    <mergeCell ref="A32:D32"/>
    <mergeCell ref="B45:D45"/>
  </mergeCells>
  <pageMargins left="0.70866141732283472" right="0.70866141732283472" top="0.74803149606299213" bottom="0.74803149606299213" header="0.31496062992125984" footer="0.31496062992125984"/>
  <pageSetup scale="75" orientation="landscape" r:id="rId1"/>
  <ignoredErrors>
    <ignoredError sqref="K13 K10 K25 K4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pane ySplit="5" topLeftCell="A6" activePane="bottomLeft" state="frozen"/>
      <selection pane="bottomLeft" activeCell="R16" sqref="R16"/>
    </sheetView>
  </sheetViews>
  <sheetFormatPr baseColWidth="10" defaultRowHeight="15" x14ac:dyDescent="0.25"/>
  <cols>
    <col min="1" max="1" width="5.28515625" customWidth="1"/>
    <col min="2" max="2" width="31" customWidth="1"/>
    <col min="3" max="3" width="27.7109375" hidden="1" customWidth="1"/>
    <col min="4" max="4" width="19.28515625" customWidth="1"/>
    <col min="5" max="5" width="11.5703125" bestFit="1" customWidth="1"/>
    <col min="6" max="6" width="16.42578125" customWidth="1"/>
    <col min="7" max="7" width="19.28515625" hidden="1" customWidth="1"/>
    <col min="8" max="8" width="16.42578125" hidden="1" customWidth="1"/>
    <col min="9" max="12" width="16.42578125" customWidth="1"/>
    <col min="13" max="13" width="16.42578125" hidden="1" customWidth="1"/>
    <col min="14" max="14" width="33" hidden="1" customWidth="1"/>
  </cols>
  <sheetData>
    <row r="1" spans="1:14" ht="18" customHeight="1" x14ac:dyDescent="0.25">
      <c r="A1" s="311" t="s">
        <v>1</v>
      </c>
      <c r="B1" s="311"/>
      <c r="C1" s="311"/>
      <c r="D1" s="311"/>
      <c r="E1" s="311"/>
      <c r="F1" s="311"/>
      <c r="G1" s="311"/>
      <c r="H1" s="311"/>
      <c r="I1" s="311"/>
      <c r="J1" s="311"/>
      <c r="K1" s="311"/>
      <c r="L1" s="311"/>
      <c r="M1" s="311"/>
      <c r="N1" s="311"/>
    </row>
    <row r="2" spans="1:14" ht="15.75" x14ac:dyDescent="0.25">
      <c r="A2" s="333" t="s">
        <v>13</v>
      </c>
      <c r="B2" s="333"/>
      <c r="C2" s="333"/>
      <c r="D2" s="333"/>
      <c r="E2" s="333"/>
      <c r="F2" s="333"/>
      <c r="G2" s="333"/>
      <c r="H2" s="333"/>
      <c r="I2" s="333"/>
      <c r="J2" s="333"/>
      <c r="K2" s="333"/>
      <c r="L2" s="333"/>
      <c r="M2" s="333"/>
      <c r="N2" s="333"/>
    </row>
    <row r="3" spans="1:14" ht="15.75" x14ac:dyDescent="0.25">
      <c r="A3" s="334" t="s">
        <v>553</v>
      </c>
      <c r="B3" s="334"/>
      <c r="C3" s="334"/>
      <c r="D3" s="334"/>
      <c r="E3" s="334"/>
      <c r="F3" s="334"/>
      <c r="G3" s="334"/>
      <c r="H3" s="334"/>
      <c r="I3" s="334"/>
      <c r="J3" s="334"/>
      <c r="K3" s="334"/>
      <c r="L3" s="334"/>
      <c r="M3" s="334"/>
      <c r="N3" s="334"/>
    </row>
    <row r="4" spans="1:14" ht="15.75" x14ac:dyDescent="0.25">
      <c r="A4" s="21"/>
      <c r="B4" s="21"/>
      <c r="C4" s="21"/>
      <c r="D4" s="21"/>
      <c r="E4" s="21"/>
      <c r="F4" s="21"/>
      <c r="G4" s="21"/>
      <c r="H4" s="21"/>
      <c r="I4" s="293"/>
      <c r="J4" s="293"/>
      <c r="K4" s="293"/>
      <c r="L4" s="293"/>
      <c r="M4" s="205"/>
      <c r="N4" s="21"/>
    </row>
    <row r="5" spans="1:14" ht="31.5" x14ac:dyDescent="0.25">
      <c r="A5" s="122" t="s">
        <v>32</v>
      </c>
      <c r="B5" s="123" t="s">
        <v>14</v>
      </c>
      <c r="C5" s="123" t="s">
        <v>15</v>
      </c>
      <c r="D5" s="123" t="s">
        <v>31</v>
      </c>
      <c r="E5" s="123" t="s">
        <v>35</v>
      </c>
      <c r="F5" s="123" t="s">
        <v>34</v>
      </c>
      <c r="G5" s="123" t="s">
        <v>55</v>
      </c>
      <c r="H5" s="123" t="s">
        <v>162</v>
      </c>
      <c r="I5" s="54" t="s">
        <v>531</v>
      </c>
      <c r="J5" s="54" t="s">
        <v>529</v>
      </c>
      <c r="K5" s="54" t="s">
        <v>536</v>
      </c>
      <c r="L5" s="54" t="s">
        <v>544</v>
      </c>
      <c r="M5" s="123" t="s">
        <v>293</v>
      </c>
      <c r="N5" s="123" t="s">
        <v>16</v>
      </c>
    </row>
    <row r="6" spans="1:14" ht="15.75" hidden="1" x14ac:dyDescent="0.25">
      <c r="A6" s="351" t="s">
        <v>12</v>
      </c>
      <c r="B6" s="351"/>
      <c r="C6" s="159"/>
      <c r="D6" s="158">
        <f>SUM(D7+D9+D13+D15+D17+D19+D23+D33+D39+D41+D21)</f>
        <v>136150513.16999999</v>
      </c>
      <c r="E6" s="159"/>
      <c r="F6" s="159"/>
      <c r="G6" s="158">
        <f>SUM(G7+G9+G13+G15+G17+G19+G23+G33+G39+G41+G21)</f>
        <v>107827118.99819998</v>
      </c>
      <c r="H6" s="158">
        <f>SUM(H7+H9+H13+H15+H17+H19+H23+H33+H39+H41+H21)</f>
        <v>29557924.041800003</v>
      </c>
      <c r="I6" s="158"/>
      <c r="J6" s="158"/>
      <c r="K6" s="158"/>
      <c r="L6" s="158"/>
      <c r="M6" s="158"/>
      <c r="N6" s="159"/>
    </row>
    <row r="7" spans="1:14" ht="15.75" hidden="1" x14ac:dyDescent="0.25">
      <c r="A7" s="320" t="s">
        <v>0</v>
      </c>
      <c r="B7" s="321"/>
      <c r="C7" s="121"/>
      <c r="D7" s="130">
        <f>SUM(D8)</f>
        <v>3197732.94</v>
      </c>
      <c r="E7" s="69"/>
      <c r="F7" s="70"/>
      <c r="G7" s="130">
        <f>SUM(G8)</f>
        <v>2046549.0815999999</v>
      </c>
      <c r="H7" s="130">
        <f>SUM(H8)</f>
        <v>1151183.8584</v>
      </c>
      <c r="I7" s="130"/>
      <c r="J7" s="130"/>
      <c r="K7" s="130"/>
      <c r="L7" s="130"/>
      <c r="M7" s="130"/>
      <c r="N7" s="72"/>
    </row>
    <row r="8" spans="1:14" ht="194.25" hidden="1" customHeight="1" x14ac:dyDescent="0.25">
      <c r="A8" s="41">
        <v>1</v>
      </c>
      <c r="B8" s="45" t="s">
        <v>217</v>
      </c>
      <c r="C8" s="42" t="s">
        <v>24</v>
      </c>
      <c r="D8" s="43">
        <v>3197732.94</v>
      </c>
      <c r="E8" s="44">
        <v>1</v>
      </c>
      <c r="F8" s="44">
        <v>0.64</v>
      </c>
      <c r="G8" s="40">
        <f>SUM(D8*F8)</f>
        <v>2046549.0815999999</v>
      </c>
      <c r="H8" s="40">
        <f>SUM(D8-G8)</f>
        <v>1151183.8584</v>
      </c>
      <c r="I8" s="295"/>
      <c r="J8" s="295"/>
      <c r="K8" s="295"/>
      <c r="L8" s="295"/>
      <c r="M8" s="206"/>
      <c r="N8" s="124" t="s">
        <v>295</v>
      </c>
    </row>
    <row r="9" spans="1:14" ht="15.75" hidden="1" x14ac:dyDescent="0.25">
      <c r="A9" s="320" t="s">
        <v>7</v>
      </c>
      <c r="B9" s="321"/>
      <c r="C9" s="121"/>
      <c r="D9" s="130">
        <f>SUM(D10:D11)</f>
        <v>24938439.57</v>
      </c>
      <c r="E9" s="69"/>
      <c r="F9" s="70"/>
      <c r="G9" s="130">
        <f>SUM(G10:G11)</f>
        <v>21728775.613000002</v>
      </c>
      <c r="H9" s="130">
        <f>SUM(H10:H12)</f>
        <v>3301769.9569999985</v>
      </c>
      <c r="I9" s="130"/>
      <c r="J9" s="130"/>
      <c r="K9" s="130"/>
      <c r="L9" s="130"/>
      <c r="M9" s="130"/>
      <c r="N9" s="72"/>
    </row>
    <row r="10" spans="1:14" ht="149.25" hidden="1" customHeight="1" x14ac:dyDescent="0.25">
      <c r="A10" s="12">
        <v>2</v>
      </c>
      <c r="B10" s="13" t="s">
        <v>201</v>
      </c>
      <c r="C10" s="14" t="s">
        <v>22</v>
      </c>
      <c r="D10" s="15">
        <v>23660189.57</v>
      </c>
      <c r="E10" s="16">
        <v>0.995</v>
      </c>
      <c r="F10" s="16">
        <v>0.9</v>
      </c>
      <c r="G10" s="17">
        <f>SUM(D10*F10)</f>
        <v>21294170.613000002</v>
      </c>
      <c r="H10" s="17">
        <f>SUM(D10-G10)</f>
        <v>2366018.9569999985</v>
      </c>
      <c r="I10" s="295"/>
      <c r="J10" s="295"/>
      <c r="K10" s="295"/>
      <c r="L10" s="295"/>
      <c r="M10" s="208" t="s">
        <v>294</v>
      </c>
      <c r="N10" s="204" t="s">
        <v>296</v>
      </c>
    </row>
    <row r="11" spans="1:14" ht="183.75" hidden="1" customHeight="1" x14ac:dyDescent="0.25">
      <c r="A11" s="32">
        <v>3</v>
      </c>
      <c r="B11" s="33" t="s">
        <v>235</v>
      </c>
      <c r="C11" s="34" t="s">
        <v>19</v>
      </c>
      <c r="D11" s="35">
        <v>1278250</v>
      </c>
      <c r="E11" s="36">
        <v>0.9</v>
      </c>
      <c r="F11" s="36">
        <v>0.34</v>
      </c>
      <c r="G11" s="24">
        <f>D11*F11</f>
        <v>434605.00000000006</v>
      </c>
      <c r="H11" s="24">
        <f>SUM(D11-G11)</f>
        <v>843645</v>
      </c>
      <c r="I11" s="35"/>
      <c r="J11" s="35"/>
      <c r="K11" s="35"/>
      <c r="L11" s="35"/>
      <c r="M11" s="208" t="s">
        <v>297</v>
      </c>
      <c r="N11" s="186" t="s">
        <v>298</v>
      </c>
    </row>
    <row r="12" spans="1:14" ht="89.25" hidden="1" x14ac:dyDescent="0.25">
      <c r="A12" s="63">
        <v>4</v>
      </c>
      <c r="B12" s="63" t="s">
        <v>266</v>
      </c>
      <c r="C12" s="63">
        <v>541800</v>
      </c>
      <c r="D12" s="63">
        <v>541800</v>
      </c>
      <c r="E12" s="91">
        <v>100</v>
      </c>
      <c r="F12" s="65">
        <v>83</v>
      </c>
      <c r="G12" s="24">
        <v>449694</v>
      </c>
      <c r="H12" s="24">
        <f>SUM(D12-G12)</f>
        <v>92106</v>
      </c>
      <c r="I12" s="24"/>
      <c r="J12" s="24"/>
      <c r="K12" s="24"/>
      <c r="L12" s="24"/>
      <c r="M12" s="63"/>
      <c r="N12" s="204" t="s">
        <v>302</v>
      </c>
    </row>
    <row r="13" spans="1:14" ht="15.75" hidden="1" x14ac:dyDescent="0.25">
      <c r="A13" s="320" t="s">
        <v>81</v>
      </c>
      <c r="B13" s="321"/>
      <c r="C13" s="121"/>
      <c r="D13" s="130">
        <f>SUM(D14)</f>
        <v>20365238</v>
      </c>
      <c r="E13" s="69"/>
      <c r="F13" s="70"/>
      <c r="G13" s="130">
        <f>SUM(G14)</f>
        <v>14866623.74</v>
      </c>
      <c r="H13" s="130">
        <f>SUM(H14)</f>
        <v>5498614.2599999998</v>
      </c>
      <c r="I13" s="130"/>
      <c r="J13" s="130"/>
      <c r="K13" s="130"/>
      <c r="L13" s="130"/>
      <c r="M13" s="130"/>
      <c r="N13" s="72"/>
    </row>
    <row r="14" spans="1:14" ht="120.75" hidden="1" customHeight="1" x14ac:dyDescent="0.25">
      <c r="A14" s="12">
        <v>5</v>
      </c>
      <c r="B14" s="45" t="s">
        <v>220</v>
      </c>
      <c r="C14" s="14" t="s">
        <v>23</v>
      </c>
      <c r="D14" s="15">
        <v>20365238</v>
      </c>
      <c r="E14" s="16">
        <v>1</v>
      </c>
      <c r="F14" s="16">
        <v>0.73</v>
      </c>
      <c r="G14" s="17">
        <f>SUM(D14*F14)</f>
        <v>14866623.74</v>
      </c>
      <c r="H14" s="17">
        <f>SUM(D14-G14)</f>
        <v>5498614.2599999998</v>
      </c>
      <c r="I14" s="295"/>
      <c r="J14" s="295"/>
      <c r="K14" s="295"/>
      <c r="L14" s="295"/>
      <c r="M14" s="206"/>
      <c r="N14" s="204" t="s">
        <v>299</v>
      </c>
    </row>
    <row r="15" spans="1:14" ht="15.75" x14ac:dyDescent="0.25">
      <c r="A15" s="320" t="s">
        <v>76</v>
      </c>
      <c r="B15" s="321"/>
      <c r="C15" s="121"/>
      <c r="D15" s="130">
        <f>SUM(D16)</f>
        <v>848464.43</v>
      </c>
      <c r="E15" s="69"/>
      <c r="F15" s="70"/>
      <c r="G15" s="130">
        <f>SUM(G16)</f>
        <v>814525.85279999999</v>
      </c>
      <c r="H15" s="130">
        <f>SUM(H16)</f>
        <v>33938.577200000058</v>
      </c>
      <c r="I15" s="130"/>
      <c r="J15" s="130"/>
      <c r="K15" s="130"/>
      <c r="L15" s="130"/>
      <c r="M15" s="130"/>
      <c r="N15" s="72"/>
    </row>
    <row r="16" spans="1:14" ht="121.5" customHeight="1" x14ac:dyDescent="0.25">
      <c r="A16" s="41">
        <v>6</v>
      </c>
      <c r="B16" s="125" t="s">
        <v>161</v>
      </c>
      <c r="C16" s="126" t="s">
        <v>25</v>
      </c>
      <c r="D16" s="127">
        <v>848464.43</v>
      </c>
      <c r="E16" s="128">
        <v>1</v>
      </c>
      <c r="F16" s="128">
        <v>0.96</v>
      </c>
      <c r="G16" s="129">
        <f>D16*F16</f>
        <v>814525.85279999999</v>
      </c>
      <c r="H16" s="129">
        <f>SUM(D16-G16)</f>
        <v>33938.577200000058</v>
      </c>
      <c r="I16" s="298" t="s">
        <v>542</v>
      </c>
      <c r="J16" s="125" t="s">
        <v>543</v>
      </c>
      <c r="K16" s="129"/>
      <c r="L16" s="308">
        <v>43522</v>
      </c>
      <c r="M16" s="301" t="s">
        <v>300</v>
      </c>
      <c r="N16" s="302" t="s">
        <v>301</v>
      </c>
    </row>
    <row r="17" spans="1:14" ht="15.75" hidden="1" x14ac:dyDescent="0.25">
      <c r="A17" s="320" t="s">
        <v>221</v>
      </c>
      <c r="B17" s="321"/>
      <c r="C17" s="121"/>
      <c r="D17" s="130">
        <f>SUM(D18)</f>
        <v>5413130</v>
      </c>
      <c r="E17" s="69"/>
      <c r="F17" s="70"/>
      <c r="G17" s="130">
        <f>SUM(G18)</f>
        <v>4492897.8999999994</v>
      </c>
      <c r="H17" s="130">
        <f>SUM(H18)</f>
        <v>920232.10000000056</v>
      </c>
      <c r="I17" s="130"/>
      <c r="J17" s="130"/>
      <c r="K17" s="130"/>
      <c r="L17" s="130"/>
      <c r="M17" s="130"/>
      <c r="N17" s="72"/>
    </row>
    <row r="18" spans="1:14" ht="124.5" hidden="1" customHeight="1" x14ac:dyDescent="0.25">
      <c r="A18" s="41">
        <v>7</v>
      </c>
      <c r="B18" s="125" t="s">
        <v>204</v>
      </c>
      <c r="C18" s="126"/>
      <c r="D18" s="127">
        <v>5413130</v>
      </c>
      <c r="E18" s="128">
        <v>0.83</v>
      </c>
      <c r="F18" s="128">
        <v>0.83</v>
      </c>
      <c r="G18" s="129">
        <f>D18*F18</f>
        <v>4492897.8999999994</v>
      </c>
      <c r="H18" s="129">
        <f>SUM(D18-G18)</f>
        <v>920232.10000000056</v>
      </c>
      <c r="I18" s="129"/>
      <c r="J18" s="129"/>
      <c r="K18" s="129"/>
      <c r="L18" s="129"/>
      <c r="M18" s="129"/>
      <c r="N18" s="204" t="s">
        <v>303</v>
      </c>
    </row>
    <row r="19" spans="1:14" ht="15.75" hidden="1" x14ac:dyDescent="0.25">
      <c r="A19" s="320" t="s">
        <v>224</v>
      </c>
      <c r="B19" s="321"/>
      <c r="C19" s="121"/>
      <c r="D19" s="130">
        <f>SUM(D20)</f>
        <v>504916</v>
      </c>
      <c r="E19" s="69"/>
      <c r="F19" s="70"/>
      <c r="G19" s="130">
        <f>SUM(G20)</f>
        <v>60589.919999999998</v>
      </c>
      <c r="H19" s="130">
        <f>SUM(H20)</f>
        <v>444326.08</v>
      </c>
      <c r="I19" s="130"/>
      <c r="J19" s="130"/>
      <c r="K19" s="130"/>
      <c r="L19" s="130"/>
      <c r="M19" s="130"/>
      <c r="N19" s="72"/>
    </row>
    <row r="20" spans="1:14" ht="129" hidden="1" customHeight="1" x14ac:dyDescent="0.25">
      <c r="A20" s="41">
        <v>8</v>
      </c>
      <c r="B20" s="45" t="s">
        <v>223</v>
      </c>
      <c r="C20" s="42" t="s">
        <v>28</v>
      </c>
      <c r="D20" s="43">
        <v>504916</v>
      </c>
      <c r="E20" s="44">
        <v>0.65</v>
      </c>
      <c r="F20" s="44">
        <v>0.12</v>
      </c>
      <c r="G20" s="46">
        <f>SUM(D20*F20)</f>
        <v>60589.919999999998</v>
      </c>
      <c r="H20" s="46">
        <f>SUM(D20-G20)</f>
        <v>444326.08</v>
      </c>
      <c r="I20" s="295"/>
      <c r="J20" s="295"/>
      <c r="K20" s="295"/>
      <c r="L20" s="295"/>
      <c r="M20" s="206"/>
      <c r="N20" s="204" t="s">
        <v>306</v>
      </c>
    </row>
    <row r="21" spans="1:14" ht="15.75" hidden="1" x14ac:dyDescent="0.25">
      <c r="A21" s="201"/>
      <c r="B21" s="320" t="s">
        <v>179</v>
      </c>
      <c r="C21" s="321"/>
      <c r="D21" s="96">
        <f>SUM(D22)</f>
        <v>3428578.53</v>
      </c>
      <c r="E21" s="130"/>
      <c r="F21" s="69"/>
      <c r="G21" s="212">
        <f>SUM(G22)</f>
        <v>377143.69</v>
      </c>
      <c r="H21" s="70">
        <f>SUM(H22)</f>
        <v>3051434.84</v>
      </c>
      <c r="I21" s="303"/>
      <c r="J21" s="303"/>
      <c r="K21" s="303"/>
      <c r="L21" s="303"/>
      <c r="M21" s="130"/>
      <c r="N21" s="130"/>
    </row>
    <row r="22" spans="1:14" ht="129" hidden="1" customHeight="1" x14ac:dyDescent="0.25">
      <c r="A22" s="199">
        <v>9</v>
      </c>
      <c r="B22" s="199" t="s">
        <v>281</v>
      </c>
      <c r="C22" s="62" t="s">
        <v>105</v>
      </c>
      <c r="D22" s="64">
        <v>3428578.53</v>
      </c>
      <c r="E22" s="65">
        <v>7</v>
      </c>
      <c r="F22" s="65">
        <v>11</v>
      </c>
      <c r="G22" s="129">
        <v>377143.69</v>
      </c>
      <c r="H22" s="206">
        <f>SUM(D22-G22)</f>
        <v>3051434.84</v>
      </c>
      <c r="I22" s="295"/>
      <c r="J22" s="295"/>
      <c r="K22" s="295"/>
      <c r="L22" s="295"/>
      <c r="M22" s="204" t="s">
        <v>304</v>
      </c>
      <c r="N22" s="67" t="s">
        <v>305</v>
      </c>
    </row>
    <row r="23" spans="1:14" ht="15.75" x14ac:dyDescent="0.25">
      <c r="A23" s="320" t="s">
        <v>205</v>
      </c>
      <c r="B23" s="321"/>
      <c r="C23" s="121"/>
      <c r="D23" s="130">
        <f>SUM(D24:D30)</f>
        <v>32380260.279999997</v>
      </c>
      <c r="E23" s="69"/>
      <c r="F23" s="70"/>
      <c r="G23" s="130">
        <f>SUM(G24:G31)</f>
        <v>29233198.656399995</v>
      </c>
      <c r="H23" s="130">
        <f>SUM(H24:H31)</f>
        <v>4289485.4936000016</v>
      </c>
      <c r="I23" s="130"/>
      <c r="J23" s="130"/>
      <c r="K23" s="130"/>
      <c r="L23" s="130"/>
      <c r="M23" s="130"/>
      <c r="N23" s="72"/>
    </row>
    <row r="24" spans="1:14" ht="15.75" hidden="1" customHeight="1" x14ac:dyDescent="0.25">
      <c r="A24" s="343">
        <v>10</v>
      </c>
      <c r="B24" s="352" t="s">
        <v>218</v>
      </c>
      <c r="C24" s="345" t="s">
        <v>17</v>
      </c>
      <c r="D24" s="347">
        <v>19730605.449999999</v>
      </c>
      <c r="E24" s="349">
        <v>1</v>
      </c>
      <c r="F24" s="349">
        <v>0.98</v>
      </c>
      <c r="G24" s="339">
        <f>SUM(D24*F24)</f>
        <v>19335993.340999998</v>
      </c>
      <c r="H24" s="339">
        <f>(D24-G24)</f>
        <v>394612.1090000011</v>
      </c>
      <c r="I24" s="295"/>
      <c r="J24" s="295"/>
      <c r="K24" s="295"/>
      <c r="L24" s="295"/>
      <c r="M24" s="206"/>
      <c r="N24" s="341" t="s">
        <v>309</v>
      </c>
    </row>
    <row r="25" spans="1:14" ht="102" hidden="1" customHeight="1" x14ac:dyDescent="0.25">
      <c r="A25" s="344"/>
      <c r="B25" s="353"/>
      <c r="C25" s="346"/>
      <c r="D25" s="348"/>
      <c r="E25" s="350"/>
      <c r="F25" s="350"/>
      <c r="G25" s="340"/>
      <c r="H25" s="340"/>
      <c r="I25" s="296"/>
      <c r="J25" s="296"/>
      <c r="K25" s="296"/>
      <c r="L25" s="296"/>
      <c r="M25" s="207"/>
      <c r="N25" s="342"/>
    </row>
    <row r="26" spans="1:14" ht="120" hidden="1" customHeight="1" x14ac:dyDescent="0.25">
      <c r="A26" s="41">
        <v>11</v>
      </c>
      <c r="B26" s="141" t="s">
        <v>222</v>
      </c>
      <c r="C26" s="42" t="s">
        <v>26</v>
      </c>
      <c r="D26" s="43">
        <v>124036.9</v>
      </c>
      <c r="E26" s="44">
        <v>1</v>
      </c>
      <c r="F26" s="44">
        <v>0.92</v>
      </c>
      <c r="G26" s="46">
        <f>SUM(D26*F26)</f>
        <v>114113.948</v>
      </c>
      <c r="H26" s="46">
        <f t="shared" ref="H26:H31" si="0">SUM(D26-G26)</f>
        <v>9922.9519999999902</v>
      </c>
      <c r="I26" s="295"/>
      <c r="J26" s="295"/>
      <c r="K26" s="295"/>
      <c r="L26" s="295"/>
      <c r="M26" s="206"/>
      <c r="N26" s="209" t="s">
        <v>308</v>
      </c>
    </row>
    <row r="27" spans="1:14" ht="153.75" hidden="1" customHeight="1" x14ac:dyDescent="0.25">
      <c r="A27" s="12">
        <v>12</v>
      </c>
      <c r="B27" s="13" t="s">
        <v>207</v>
      </c>
      <c r="C27" s="14" t="s">
        <v>21</v>
      </c>
      <c r="D27" s="15">
        <v>6993000</v>
      </c>
      <c r="E27" s="16">
        <v>0.86</v>
      </c>
      <c r="F27" s="16">
        <v>0.86</v>
      </c>
      <c r="G27" s="17">
        <f>SUM(D27*F27)</f>
        <v>6013980</v>
      </c>
      <c r="H27" s="17">
        <f t="shared" si="0"/>
        <v>979020</v>
      </c>
      <c r="I27" s="295"/>
      <c r="J27" s="295"/>
      <c r="K27" s="295"/>
      <c r="L27" s="295"/>
      <c r="M27" s="208" t="s">
        <v>307</v>
      </c>
      <c r="N27" s="19" t="s">
        <v>310</v>
      </c>
    </row>
    <row r="28" spans="1:14" ht="128.25" hidden="1" customHeight="1" x14ac:dyDescent="0.25">
      <c r="A28" s="142">
        <v>13</v>
      </c>
      <c r="B28" s="45" t="s">
        <v>227</v>
      </c>
      <c r="C28" s="45"/>
      <c r="D28" s="43">
        <v>993176.14</v>
      </c>
      <c r="E28" s="43">
        <v>100</v>
      </c>
      <c r="F28" s="44">
        <v>0.92</v>
      </c>
      <c r="G28" s="46">
        <f>SUM(D28*F28)</f>
        <v>913722.04880000011</v>
      </c>
      <c r="H28" s="46">
        <f t="shared" si="0"/>
        <v>79454.091199999908</v>
      </c>
      <c r="I28" s="295"/>
      <c r="J28" s="295"/>
      <c r="K28" s="295"/>
      <c r="L28" s="295"/>
      <c r="M28" s="206"/>
      <c r="N28" s="209" t="s">
        <v>311</v>
      </c>
    </row>
    <row r="29" spans="1:14" ht="76.5" hidden="1" x14ac:dyDescent="0.25">
      <c r="A29" s="31">
        <v>14</v>
      </c>
      <c r="B29" s="45" t="s">
        <v>230</v>
      </c>
      <c r="C29" s="23" t="s">
        <v>44</v>
      </c>
      <c r="D29" s="24">
        <v>2507137.79</v>
      </c>
      <c r="E29" s="26">
        <v>0.21</v>
      </c>
      <c r="F29" s="26">
        <v>0.34</v>
      </c>
      <c r="G29" s="24">
        <f>D29*F29</f>
        <v>852426.84860000003</v>
      </c>
      <c r="H29" s="24">
        <f t="shared" si="0"/>
        <v>1654710.9413999999</v>
      </c>
      <c r="I29" s="24"/>
      <c r="J29" s="24"/>
      <c r="K29" s="24"/>
      <c r="L29" s="24"/>
      <c r="M29" s="24"/>
      <c r="N29" s="209" t="s">
        <v>312</v>
      </c>
    </row>
    <row r="30" spans="1:14" ht="127.5" hidden="1" x14ac:dyDescent="0.25">
      <c r="A30" s="31">
        <v>15</v>
      </c>
      <c r="B30" s="25" t="s">
        <v>231</v>
      </c>
      <c r="C30" s="23" t="s">
        <v>46</v>
      </c>
      <c r="D30" s="24">
        <v>2032304</v>
      </c>
      <c r="E30" s="26">
        <v>1</v>
      </c>
      <c r="F30" s="26">
        <v>0.89</v>
      </c>
      <c r="G30" s="24">
        <f>D30*F30</f>
        <v>1808750.56</v>
      </c>
      <c r="H30" s="24">
        <f t="shared" si="0"/>
        <v>223553.43999999994</v>
      </c>
      <c r="I30" s="24"/>
      <c r="J30" s="24"/>
      <c r="K30" s="24"/>
      <c r="L30" s="24"/>
      <c r="M30" s="24"/>
      <c r="N30" s="210" t="s">
        <v>313</v>
      </c>
    </row>
    <row r="31" spans="1:14" ht="102" hidden="1" x14ac:dyDescent="0.25">
      <c r="A31" s="202">
        <v>16</v>
      </c>
      <c r="B31" s="75" t="s">
        <v>134</v>
      </c>
      <c r="C31" s="63">
        <v>1142423.8700000001</v>
      </c>
      <c r="D31" s="24">
        <v>1142423.8700000001</v>
      </c>
      <c r="E31" s="117">
        <v>85</v>
      </c>
      <c r="F31" s="117">
        <v>17</v>
      </c>
      <c r="G31" s="24">
        <v>194211.91</v>
      </c>
      <c r="H31" s="24">
        <f t="shared" si="0"/>
        <v>948211.96000000008</v>
      </c>
      <c r="I31" s="24"/>
      <c r="J31" s="24"/>
      <c r="K31" s="24"/>
      <c r="L31" s="24"/>
      <c r="M31" s="211" t="s">
        <v>314</v>
      </c>
      <c r="N31" s="210" t="s">
        <v>315</v>
      </c>
    </row>
    <row r="32" spans="1:14" ht="192" hidden="1" customHeight="1" x14ac:dyDescent="0.25">
      <c r="A32" s="202">
        <v>17</v>
      </c>
      <c r="B32" s="75" t="s">
        <v>229</v>
      </c>
      <c r="C32" s="63" t="s">
        <v>22</v>
      </c>
      <c r="D32" s="24">
        <v>2423260.5699999998</v>
      </c>
      <c r="E32" s="117">
        <v>0.05</v>
      </c>
      <c r="F32" s="117">
        <v>0.09</v>
      </c>
      <c r="G32" s="24">
        <v>218093.45129999999</v>
      </c>
      <c r="H32" s="24">
        <v>2205167.1187</v>
      </c>
      <c r="I32" s="304"/>
      <c r="J32" s="304"/>
      <c r="K32" s="304"/>
      <c r="L32" s="304"/>
      <c r="M32" s="213" t="s">
        <v>332</v>
      </c>
      <c r="N32" s="210"/>
    </row>
    <row r="33" spans="1:14" ht="15.75" hidden="1" x14ac:dyDescent="0.25">
      <c r="A33" s="320" t="s">
        <v>138</v>
      </c>
      <c r="B33" s="321"/>
      <c r="C33" s="121"/>
      <c r="D33" s="130">
        <f>SUM(D34:D38)</f>
        <v>38043756.969999999</v>
      </c>
      <c r="E33" s="69"/>
      <c r="F33" s="70"/>
      <c r="G33" s="130">
        <f>SUM(G34:G38)</f>
        <v>27271891.874399997</v>
      </c>
      <c r="H33" s="130">
        <f>SUM(H34:H38)</f>
        <v>10771865.095600002</v>
      </c>
      <c r="I33" s="130"/>
      <c r="J33" s="130"/>
      <c r="K33" s="130"/>
      <c r="L33" s="130"/>
      <c r="M33" s="130"/>
      <c r="N33" s="72"/>
    </row>
    <row r="34" spans="1:14" ht="76.5" hidden="1" x14ac:dyDescent="0.25">
      <c r="A34" s="12">
        <v>18</v>
      </c>
      <c r="B34" s="13" t="s">
        <v>211</v>
      </c>
      <c r="C34" s="14" t="s">
        <v>22</v>
      </c>
      <c r="D34" s="15">
        <v>25430363.359999999</v>
      </c>
      <c r="E34" s="16">
        <v>0.99</v>
      </c>
      <c r="F34" s="16">
        <v>0.69</v>
      </c>
      <c r="G34" s="17">
        <f>SUM(D34*F34)</f>
        <v>17546950.718399998</v>
      </c>
      <c r="H34" s="17">
        <f>SUM(D34-G34)</f>
        <v>7883412.6416000016</v>
      </c>
      <c r="I34" s="295"/>
      <c r="J34" s="295"/>
      <c r="K34" s="295"/>
      <c r="L34" s="295"/>
      <c r="M34" s="208" t="s">
        <v>316</v>
      </c>
      <c r="N34" s="210" t="s">
        <v>317</v>
      </c>
    </row>
    <row r="35" spans="1:14" ht="89.25" hidden="1" x14ac:dyDescent="0.25">
      <c r="A35" s="41">
        <v>19</v>
      </c>
      <c r="B35" s="45" t="s">
        <v>219</v>
      </c>
      <c r="C35" s="42" t="s">
        <v>18</v>
      </c>
      <c r="D35" s="43">
        <v>304629</v>
      </c>
      <c r="E35" s="44">
        <v>1</v>
      </c>
      <c r="F35" s="44">
        <v>0.91</v>
      </c>
      <c r="G35" s="40">
        <f>SUM(D35*F35)</f>
        <v>277212.39</v>
      </c>
      <c r="H35" s="40">
        <f>SUM(D35-G35)</f>
        <v>27416.609999999986</v>
      </c>
      <c r="I35" s="295"/>
      <c r="J35" s="295"/>
      <c r="K35" s="295"/>
      <c r="L35" s="295"/>
      <c r="M35" s="206"/>
      <c r="N35" s="210" t="s">
        <v>318</v>
      </c>
    </row>
    <row r="36" spans="1:14" ht="114.75" hidden="1" x14ac:dyDescent="0.25">
      <c r="A36" s="41">
        <v>20</v>
      </c>
      <c r="B36" s="45" t="s">
        <v>210</v>
      </c>
      <c r="C36" s="42" t="s">
        <v>19</v>
      </c>
      <c r="D36" s="43">
        <v>7264000</v>
      </c>
      <c r="E36" s="44">
        <v>1</v>
      </c>
      <c r="F36" s="44">
        <v>0.78</v>
      </c>
      <c r="G36" s="46">
        <f>SUM(D36*F36)</f>
        <v>5665920</v>
      </c>
      <c r="H36" s="46">
        <f>SUM(D36-G36)</f>
        <v>1598080</v>
      </c>
      <c r="I36" s="295"/>
      <c r="J36" s="295"/>
      <c r="K36" s="295"/>
      <c r="L36" s="295"/>
      <c r="M36" s="206"/>
      <c r="N36" s="210" t="s">
        <v>319</v>
      </c>
    </row>
    <row r="37" spans="1:14" ht="117" hidden="1" customHeight="1" x14ac:dyDescent="0.25">
      <c r="A37" s="41">
        <v>21</v>
      </c>
      <c r="B37" s="45" t="s">
        <v>225</v>
      </c>
      <c r="C37" s="42" t="s">
        <v>20</v>
      </c>
      <c r="D37" s="43">
        <v>3595000</v>
      </c>
      <c r="E37" s="44">
        <v>0.99</v>
      </c>
      <c r="F37" s="44">
        <v>0.81</v>
      </c>
      <c r="G37" s="46">
        <f>SUM(D37*F37)</f>
        <v>2911950</v>
      </c>
      <c r="H37" s="46">
        <f>SUM(D37-G37)</f>
        <v>683050</v>
      </c>
      <c r="I37" s="295"/>
      <c r="J37" s="295"/>
      <c r="K37" s="295"/>
      <c r="L37" s="295"/>
      <c r="M37" s="206"/>
      <c r="N37" s="210" t="s">
        <v>320</v>
      </c>
    </row>
    <row r="38" spans="1:14" ht="78.75" x14ac:dyDescent="0.25">
      <c r="A38" s="41">
        <v>22</v>
      </c>
      <c r="B38" s="45" t="s">
        <v>208</v>
      </c>
      <c r="C38" s="42" t="s">
        <v>29</v>
      </c>
      <c r="D38" s="43">
        <v>1449764.61</v>
      </c>
      <c r="E38" s="44">
        <v>0.66</v>
      </c>
      <c r="F38" s="44">
        <v>0.6</v>
      </c>
      <c r="G38" s="18">
        <f>SUM(D38*F38)</f>
        <v>869858.76600000006</v>
      </c>
      <c r="H38" s="18">
        <f>SUM(D38-G38)</f>
        <v>579905.84400000004</v>
      </c>
      <c r="I38" s="298" t="s">
        <v>548</v>
      </c>
      <c r="J38" s="125" t="s">
        <v>543</v>
      </c>
      <c r="K38" s="127">
        <v>724882.31</v>
      </c>
      <c r="L38" s="309">
        <v>43465</v>
      </c>
      <c r="M38" s="208" t="s">
        <v>321</v>
      </c>
      <c r="N38" s="210" t="s">
        <v>322</v>
      </c>
    </row>
    <row r="39" spans="1:14" ht="15.75" hidden="1" x14ac:dyDescent="0.25">
      <c r="A39" s="320" t="s">
        <v>179</v>
      </c>
      <c r="B39" s="321"/>
      <c r="C39" s="121"/>
      <c r="D39" s="130">
        <f>SUM(D40)</f>
        <v>161142</v>
      </c>
      <c r="E39" s="69"/>
      <c r="F39" s="70"/>
      <c r="G39" s="130">
        <f>SUM(G40)</f>
        <v>66068.22</v>
      </c>
      <c r="H39" s="130">
        <f>SUM(H40)</f>
        <v>95073.78</v>
      </c>
      <c r="I39" s="130"/>
      <c r="J39" s="130"/>
      <c r="K39" s="130"/>
      <c r="L39" s="130"/>
      <c r="M39" s="130"/>
      <c r="N39" s="72"/>
    </row>
    <row r="40" spans="1:14" ht="102" hidden="1" x14ac:dyDescent="0.25">
      <c r="A40" s="12">
        <v>23</v>
      </c>
      <c r="B40" s="19" t="s">
        <v>30</v>
      </c>
      <c r="D40" s="15">
        <v>161142</v>
      </c>
      <c r="E40" s="16">
        <v>1</v>
      </c>
      <c r="F40" s="16">
        <v>0.41</v>
      </c>
      <c r="G40" s="18">
        <f>SUM(D40*F40)</f>
        <v>66068.22</v>
      </c>
      <c r="H40" s="18">
        <f>SUM(D40-G40)</f>
        <v>95073.78</v>
      </c>
      <c r="I40" s="18"/>
      <c r="J40" s="18"/>
      <c r="K40" s="18"/>
      <c r="L40" s="18"/>
      <c r="M40" s="18"/>
      <c r="N40" s="210" t="s">
        <v>323</v>
      </c>
    </row>
    <row r="41" spans="1:14" ht="15.75" hidden="1" x14ac:dyDescent="0.25">
      <c r="A41" s="320" t="s">
        <v>154</v>
      </c>
      <c r="B41" s="321"/>
      <c r="C41" s="121"/>
      <c r="D41" s="130">
        <f>SUM(D42)</f>
        <v>6868854.4500000002</v>
      </c>
      <c r="E41" s="69"/>
      <c r="F41" s="70"/>
      <c r="G41" s="130">
        <f>SUM(G42)</f>
        <v>6868854.4500000002</v>
      </c>
      <c r="H41" s="130">
        <f>SUM(H42)</f>
        <v>0</v>
      </c>
      <c r="I41" s="130"/>
      <c r="J41" s="130"/>
      <c r="K41" s="130"/>
      <c r="L41" s="130"/>
      <c r="M41" s="130"/>
      <c r="N41" s="72"/>
    </row>
    <row r="42" spans="1:14" ht="76.5" hidden="1" x14ac:dyDescent="0.25">
      <c r="A42" s="41">
        <v>24</v>
      </c>
      <c r="B42" s="19" t="s">
        <v>226</v>
      </c>
      <c r="C42" s="42" t="s">
        <v>21</v>
      </c>
      <c r="D42" s="43">
        <v>6868854.4500000002</v>
      </c>
      <c r="E42" s="44">
        <v>1</v>
      </c>
      <c r="F42" s="44">
        <v>1</v>
      </c>
      <c r="G42" s="18">
        <f>SUM(D42*F42)</f>
        <v>6868854.4500000002</v>
      </c>
      <c r="H42" s="18">
        <f>SUM(D42-G42)</f>
        <v>0</v>
      </c>
      <c r="I42" s="18"/>
      <c r="J42" s="18"/>
      <c r="K42" s="18"/>
      <c r="L42" s="18"/>
      <c r="M42" s="18"/>
      <c r="N42" s="124" t="s">
        <v>325</v>
      </c>
    </row>
    <row r="43" spans="1:14" hidden="1" x14ac:dyDescent="0.25"/>
    <row r="44" spans="1:14" ht="16.5" hidden="1" x14ac:dyDescent="0.3">
      <c r="B44" s="1" t="s">
        <v>56</v>
      </c>
      <c r="C44" s="1"/>
      <c r="D44" s="1"/>
    </row>
    <row r="45" spans="1:14" ht="16.5" hidden="1" x14ac:dyDescent="0.3">
      <c r="B45" s="1" t="s">
        <v>324</v>
      </c>
      <c r="C45" s="1"/>
      <c r="D45" s="1"/>
    </row>
    <row r="46" spans="1:14" hidden="1" x14ac:dyDescent="0.25"/>
  </sheetData>
  <sheetProtection formatCells="0" formatColumns="0" formatRows="0" insertColumns="0" insertRows="0" insertHyperlinks="0" deleteColumns="0" deleteRows="0" sort="0" autoFilter="0" pivotTables="0"/>
  <mergeCells count="24">
    <mergeCell ref="B21:C21"/>
    <mergeCell ref="A1:N1"/>
    <mergeCell ref="A6:B6"/>
    <mergeCell ref="A41:B41"/>
    <mergeCell ref="A13:B13"/>
    <mergeCell ref="A19:B19"/>
    <mergeCell ref="A15:B15"/>
    <mergeCell ref="A7:B7"/>
    <mergeCell ref="A9:B9"/>
    <mergeCell ref="A3:N3"/>
    <mergeCell ref="A2:N2"/>
    <mergeCell ref="A17:B17"/>
    <mergeCell ref="A39:B39"/>
    <mergeCell ref="A23:B23"/>
    <mergeCell ref="A33:B33"/>
    <mergeCell ref="B24:B25"/>
    <mergeCell ref="H24:H25"/>
    <mergeCell ref="N24:N25"/>
    <mergeCell ref="A24:A25"/>
    <mergeCell ref="C24:C25"/>
    <mergeCell ref="D24:D25"/>
    <mergeCell ref="E24:E25"/>
    <mergeCell ref="F24:F25"/>
    <mergeCell ref="G24:G25"/>
  </mergeCells>
  <pageMargins left="0.70866141732283472" right="0.70866141732283472" top="0.74803149606299213" bottom="0.74803149606299213" header="0.31496062992125984" footer="0.31496062992125984"/>
  <pageSetup scale="85" orientation="landscape" r:id="rId1"/>
  <ignoredErrors>
    <ignoredError sqref="G8 G39:H39 H8 G33:H3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H6" sqref="H6"/>
    </sheetView>
  </sheetViews>
  <sheetFormatPr baseColWidth="10" defaultRowHeight="15" x14ac:dyDescent="0.25"/>
  <cols>
    <col min="1" max="1" width="5.42578125" customWidth="1"/>
    <col min="2" max="2" width="28.28515625" customWidth="1"/>
    <col min="3" max="3" width="16.5703125" hidden="1" customWidth="1"/>
    <col min="4" max="4" width="16.85546875" customWidth="1"/>
    <col min="5" max="5" width="14.140625" customWidth="1"/>
    <col min="6" max="6" width="13.28515625" customWidth="1"/>
    <col min="7" max="7" width="14.42578125" customWidth="1"/>
    <col min="8" max="8" width="17.140625" customWidth="1"/>
    <col min="9" max="9" width="41.140625" customWidth="1"/>
  </cols>
  <sheetData>
    <row r="1" spans="1:9" ht="15.75" x14ac:dyDescent="0.25">
      <c r="B1" s="311" t="s">
        <v>1</v>
      </c>
      <c r="C1" s="311"/>
      <c r="D1" s="311"/>
      <c r="E1" s="311"/>
      <c r="F1" s="311"/>
      <c r="G1" s="311"/>
      <c r="H1" s="311"/>
      <c r="I1" s="311"/>
    </row>
    <row r="2" spans="1:9" ht="15.75" x14ac:dyDescent="0.25">
      <c r="B2" s="333" t="s">
        <v>13</v>
      </c>
      <c r="C2" s="333"/>
      <c r="D2" s="333"/>
      <c r="E2" s="333"/>
      <c r="F2" s="333"/>
      <c r="G2" s="333"/>
      <c r="H2" s="333"/>
      <c r="I2" s="333"/>
    </row>
    <row r="3" spans="1:9" ht="15.75" x14ac:dyDescent="0.25">
      <c r="B3" s="334" t="s">
        <v>57</v>
      </c>
      <c r="C3" s="334"/>
      <c r="D3" s="334"/>
      <c r="E3" s="334"/>
      <c r="F3" s="334"/>
      <c r="G3" s="334"/>
      <c r="H3" s="334"/>
      <c r="I3" s="334"/>
    </row>
    <row r="4" spans="1:9" ht="15.75" x14ac:dyDescent="0.25">
      <c r="B4" s="21"/>
      <c r="C4" s="21"/>
      <c r="D4" s="21"/>
      <c r="E4" s="21"/>
      <c r="F4" s="21"/>
      <c r="G4" s="21"/>
      <c r="H4" s="21"/>
      <c r="I4" s="21"/>
    </row>
    <row r="5" spans="1:9" ht="47.25" x14ac:dyDescent="0.25">
      <c r="A5" s="27" t="s">
        <v>2</v>
      </c>
      <c r="B5" s="27" t="s">
        <v>41</v>
      </c>
      <c r="C5" s="20" t="s">
        <v>15</v>
      </c>
      <c r="D5" s="20" t="s">
        <v>31</v>
      </c>
      <c r="E5" s="20" t="s">
        <v>42</v>
      </c>
      <c r="F5" s="20" t="s">
        <v>43</v>
      </c>
      <c r="G5" s="20" t="s">
        <v>55</v>
      </c>
      <c r="H5" s="20" t="s">
        <v>33</v>
      </c>
      <c r="I5" s="20" t="s">
        <v>16</v>
      </c>
    </row>
    <row r="6" spans="1:9" ht="15.75" x14ac:dyDescent="0.25">
      <c r="A6" s="157"/>
      <c r="B6" s="351" t="s">
        <v>6</v>
      </c>
      <c r="C6" s="351"/>
      <c r="D6" s="158">
        <f>SUM(D7:D9)</f>
        <v>14312030.520000001</v>
      </c>
      <c r="E6" s="158"/>
      <c r="F6" s="159"/>
      <c r="G6" s="159"/>
      <c r="H6" s="158">
        <f>SUM(H7:H9)</f>
        <v>4630862.6595999999</v>
      </c>
      <c r="I6" s="158"/>
    </row>
    <row r="7" spans="1:9" ht="33" customHeight="1" x14ac:dyDescent="0.25">
      <c r="A7" s="22">
        <v>1</v>
      </c>
      <c r="B7" s="29" t="s">
        <v>58</v>
      </c>
      <c r="C7" s="22" t="s">
        <v>36</v>
      </c>
      <c r="D7" s="24">
        <v>3143588.8</v>
      </c>
      <c r="E7" s="24">
        <v>0.35</v>
      </c>
      <c r="F7" s="23">
        <v>0.35</v>
      </c>
      <c r="G7" s="24">
        <f>(D7*F7)</f>
        <v>1100256.0799999998</v>
      </c>
      <c r="H7" s="24">
        <f>D7-G7</f>
        <v>2043332.72</v>
      </c>
      <c r="I7" s="143" t="s">
        <v>37</v>
      </c>
    </row>
    <row r="8" spans="1:9" ht="66.75" customHeight="1" x14ac:dyDescent="0.25">
      <c r="A8" s="25">
        <v>2</v>
      </c>
      <c r="B8" s="30" t="s">
        <v>59</v>
      </c>
      <c r="C8" s="23" t="s">
        <v>38</v>
      </c>
      <c r="D8" s="24">
        <v>11074500</v>
      </c>
      <c r="E8" s="26">
        <v>0.66</v>
      </c>
      <c r="F8" s="26">
        <v>0.77</v>
      </c>
      <c r="G8" s="24">
        <f>(D8*F8)</f>
        <v>8527365</v>
      </c>
      <c r="H8" s="24">
        <f>D8-G8</f>
        <v>2547135</v>
      </c>
      <c r="I8" s="144" t="s">
        <v>39</v>
      </c>
    </row>
    <row r="9" spans="1:9" ht="49.5" customHeight="1" x14ac:dyDescent="0.25">
      <c r="A9" s="25">
        <v>3</v>
      </c>
      <c r="B9" s="30" t="s">
        <v>60</v>
      </c>
      <c r="C9" s="23" t="s">
        <v>40</v>
      </c>
      <c r="D9" s="24">
        <v>93941.72</v>
      </c>
      <c r="E9" s="26">
        <v>1</v>
      </c>
      <c r="F9" s="26">
        <v>0.56999999999999995</v>
      </c>
      <c r="G9" s="24">
        <f>(D9*F9)</f>
        <v>53546.780399999996</v>
      </c>
      <c r="H9" s="24">
        <f>D9-G9</f>
        <v>40394.939600000005</v>
      </c>
      <c r="I9" s="144" t="s">
        <v>228</v>
      </c>
    </row>
    <row r="11" spans="1:9" ht="16.5" x14ac:dyDescent="0.3">
      <c r="A11" s="354" t="s">
        <v>56</v>
      </c>
      <c r="B11" s="354"/>
    </row>
    <row r="12" spans="1:9" ht="16.5" x14ac:dyDescent="0.3">
      <c r="A12" s="160" t="s">
        <v>324</v>
      </c>
      <c r="B12" s="160"/>
    </row>
  </sheetData>
  <sheetProtection formatCells="0" formatRows="0" insertColumns="0" insertRows="0" insertHyperlinks="0" deleteColumns="0" deleteRows="0" sort="0" autoFilter="0" pivotTables="0"/>
  <mergeCells count="5">
    <mergeCell ref="B1:I1"/>
    <mergeCell ref="B2:I2"/>
    <mergeCell ref="B3:I3"/>
    <mergeCell ref="B6:C6"/>
    <mergeCell ref="A11:B11"/>
  </mergeCells>
  <pageMargins left="0.70866141732283472" right="0.70866141732283472" top="0.74803149606299213" bottom="0.74803149606299213"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pane ySplit="6" topLeftCell="A7" activePane="bottomLeft" state="frozen"/>
      <selection pane="bottomLeft" activeCell="D22" sqref="D22"/>
    </sheetView>
  </sheetViews>
  <sheetFormatPr baseColWidth="10" defaultRowHeight="15" x14ac:dyDescent="0.25"/>
  <cols>
    <col min="1" max="1" width="4" customWidth="1"/>
    <col min="2" max="2" width="24" customWidth="1"/>
    <col min="3" max="3" width="18.28515625" hidden="1" customWidth="1"/>
    <col min="4" max="4" width="17.85546875" customWidth="1"/>
    <col min="6" max="6" width="13.5703125" customWidth="1"/>
    <col min="7" max="7" width="14.42578125" customWidth="1"/>
    <col min="8" max="8" width="21.5703125" customWidth="1"/>
    <col min="9" max="9" width="33.42578125" customWidth="1"/>
  </cols>
  <sheetData>
    <row r="1" spans="1:9" ht="15.75" x14ac:dyDescent="0.25">
      <c r="A1" s="334" t="s">
        <v>1</v>
      </c>
      <c r="B1" s="334"/>
      <c r="C1" s="334"/>
      <c r="D1" s="334"/>
      <c r="E1" s="334"/>
      <c r="F1" s="334"/>
      <c r="G1" s="334"/>
      <c r="H1" s="334"/>
      <c r="I1" s="334"/>
    </row>
    <row r="2" spans="1:9" ht="15.75" x14ac:dyDescent="0.25">
      <c r="A2" s="333" t="s">
        <v>13</v>
      </c>
      <c r="B2" s="333"/>
      <c r="C2" s="333"/>
      <c r="D2" s="333"/>
      <c r="E2" s="333"/>
      <c r="F2" s="333"/>
      <c r="G2" s="333"/>
      <c r="H2" s="333"/>
      <c r="I2" s="333"/>
    </row>
    <row r="3" spans="1:9" ht="15.75" x14ac:dyDescent="0.25">
      <c r="A3" s="334" t="s">
        <v>49</v>
      </c>
      <c r="B3" s="334"/>
      <c r="C3" s="334"/>
      <c r="D3" s="334"/>
      <c r="E3" s="334"/>
      <c r="F3" s="334"/>
      <c r="G3" s="334"/>
      <c r="H3" s="334"/>
      <c r="I3" s="334"/>
    </row>
    <row r="4" spans="1:9" ht="16.5" thickBot="1" x14ac:dyDescent="0.3">
      <c r="A4" s="21"/>
      <c r="B4" s="21"/>
      <c r="C4" s="21"/>
      <c r="D4" s="21"/>
      <c r="E4" s="21"/>
      <c r="F4" s="21"/>
      <c r="G4" s="21"/>
      <c r="H4" s="21"/>
      <c r="I4" s="21"/>
    </row>
    <row r="5" spans="1:9" ht="25.5" x14ac:dyDescent="0.25">
      <c r="A5" s="161"/>
      <c r="B5" s="162" t="s">
        <v>14</v>
      </c>
      <c r="C5" s="162" t="s">
        <v>15</v>
      </c>
      <c r="D5" s="162" t="s">
        <v>31</v>
      </c>
      <c r="E5" s="162" t="s">
        <v>54</v>
      </c>
      <c r="F5" s="162" t="s">
        <v>61</v>
      </c>
      <c r="G5" s="162" t="s">
        <v>55</v>
      </c>
      <c r="H5" s="162" t="s">
        <v>33</v>
      </c>
      <c r="I5" s="162" t="s">
        <v>16</v>
      </c>
    </row>
    <row r="6" spans="1:9" ht="12.75" customHeight="1" x14ac:dyDescent="0.25">
      <c r="A6" s="163"/>
      <c r="B6" s="183" t="s">
        <v>12</v>
      </c>
      <c r="C6" s="184"/>
      <c r="D6" s="185">
        <f>SUM(D7+D9+D15)</f>
        <v>71167952.560000002</v>
      </c>
      <c r="E6" s="184"/>
      <c r="F6" s="184"/>
      <c r="G6" s="185">
        <f>SUM(G7+G9+G15)</f>
        <v>30570802.487100001</v>
      </c>
      <c r="H6" s="185">
        <f>SUM(H7+H9+H15)</f>
        <v>40276584.072900005</v>
      </c>
      <c r="I6" s="163"/>
    </row>
    <row r="7" spans="1:9" x14ac:dyDescent="0.25">
      <c r="A7" s="355" t="s">
        <v>76</v>
      </c>
      <c r="B7" s="356"/>
      <c r="C7" s="164"/>
      <c r="D7" s="165">
        <f>SUM(D8)</f>
        <v>968749.89</v>
      </c>
      <c r="E7" s="166"/>
      <c r="F7" s="167"/>
      <c r="G7" s="165">
        <f>SUM(G8)</f>
        <v>523124.94060000003</v>
      </c>
      <c r="H7" s="165">
        <f>SUM(H8)</f>
        <v>445624.94939999998</v>
      </c>
      <c r="I7" s="168"/>
    </row>
    <row r="8" spans="1:9" ht="129" customHeight="1" x14ac:dyDescent="0.25">
      <c r="A8" s="169">
        <v>1</v>
      </c>
      <c r="B8" s="140" t="s">
        <v>233</v>
      </c>
      <c r="C8" s="170" t="s">
        <v>50</v>
      </c>
      <c r="D8" s="171">
        <v>968749.89</v>
      </c>
      <c r="E8" s="172">
        <v>0.7</v>
      </c>
      <c r="F8" s="172">
        <v>0.54</v>
      </c>
      <c r="G8" s="171">
        <f t="shared" ref="G8:G19" si="0">D8*F8</f>
        <v>523124.94060000003</v>
      </c>
      <c r="H8" s="171">
        <f t="shared" ref="H8:H19" si="1">SUM(D8-G8)</f>
        <v>445624.94939999998</v>
      </c>
      <c r="I8" s="140" t="s">
        <v>326</v>
      </c>
    </row>
    <row r="9" spans="1:9" x14ac:dyDescent="0.25">
      <c r="A9" s="355" t="s">
        <v>7</v>
      </c>
      <c r="B9" s="356"/>
      <c r="C9" s="164"/>
      <c r="D9" s="165">
        <f>SUM(D10:D14)</f>
        <v>39193367.839999996</v>
      </c>
      <c r="E9" s="166"/>
      <c r="F9" s="173"/>
      <c r="G9" s="165">
        <f>SUM(G10:G14)</f>
        <v>21855532.9329</v>
      </c>
      <c r="H9" s="165">
        <f>SUM(H10:H14)</f>
        <v>17337834.907099999</v>
      </c>
      <c r="I9" s="168"/>
    </row>
    <row r="10" spans="1:9" ht="126.75" customHeight="1" x14ac:dyDescent="0.25">
      <c r="A10" s="169">
        <v>2</v>
      </c>
      <c r="B10" s="140" t="s">
        <v>234</v>
      </c>
      <c r="C10" s="170" t="s">
        <v>51</v>
      </c>
      <c r="D10" s="171">
        <v>5777412.5199999996</v>
      </c>
      <c r="E10" s="172">
        <v>0.95</v>
      </c>
      <c r="F10" s="172">
        <v>0.95</v>
      </c>
      <c r="G10" s="171">
        <f t="shared" si="0"/>
        <v>5488541.8939999994</v>
      </c>
      <c r="H10" s="171">
        <f t="shared" si="1"/>
        <v>288870.62600000016</v>
      </c>
      <c r="I10" s="140" t="s">
        <v>327</v>
      </c>
    </row>
    <row r="11" spans="1:9" ht="135" customHeight="1" x14ac:dyDescent="0.25">
      <c r="A11" s="169">
        <v>3</v>
      </c>
      <c r="B11" s="174" t="s">
        <v>242</v>
      </c>
      <c r="C11" s="170" t="s">
        <v>53</v>
      </c>
      <c r="D11" s="171">
        <v>5691558.9100000001</v>
      </c>
      <c r="E11" s="172">
        <v>0.8</v>
      </c>
      <c r="F11" s="172">
        <v>0.79</v>
      </c>
      <c r="G11" s="171">
        <f>D11*F11</f>
        <v>4496331.5389</v>
      </c>
      <c r="H11" s="171">
        <f>SUM(D11-G11)</f>
        <v>1195227.3711000001</v>
      </c>
      <c r="I11" s="140" t="s">
        <v>328</v>
      </c>
    </row>
    <row r="12" spans="1:9" ht="106.5" customHeight="1" x14ac:dyDescent="0.25">
      <c r="A12" s="169">
        <v>4</v>
      </c>
      <c r="B12" s="174" t="s">
        <v>243</v>
      </c>
      <c r="C12" s="170" t="s">
        <v>53</v>
      </c>
      <c r="D12" s="171">
        <v>9998203.8699999992</v>
      </c>
      <c r="E12" s="172">
        <v>0</v>
      </c>
      <c r="F12" s="172">
        <v>0</v>
      </c>
      <c r="G12" s="171">
        <f>D12*F12</f>
        <v>0</v>
      </c>
      <c r="H12" s="171">
        <f>SUM(D12-G12)</f>
        <v>9998203.8699999992</v>
      </c>
      <c r="I12" s="140" t="s">
        <v>245</v>
      </c>
    </row>
    <row r="13" spans="1:9" ht="148.5" customHeight="1" x14ac:dyDescent="0.25">
      <c r="A13" s="169">
        <v>5</v>
      </c>
      <c r="B13" s="174" t="s">
        <v>244</v>
      </c>
      <c r="C13" s="170" t="s">
        <v>53</v>
      </c>
      <c r="D13" s="171">
        <v>4962042.54</v>
      </c>
      <c r="E13" s="172">
        <v>0</v>
      </c>
      <c r="F13" s="172">
        <v>0</v>
      </c>
      <c r="G13" s="171">
        <f>D13*F13</f>
        <v>0</v>
      </c>
      <c r="H13" s="171">
        <f>SUM(D13-G13)</f>
        <v>4962042.54</v>
      </c>
      <c r="I13" s="140" t="s">
        <v>292</v>
      </c>
    </row>
    <row r="14" spans="1:9" ht="123" customHeight="1" x14ac:dyDescent="0.25">
      <c r="A14" s="169">
        <v>6</v>
      </c>
      <c r="B14" s="140" t="s">
        <v>202</v>
      </c>
      <c r="C14" s="170" t="s">
        <v>53</v>
      </c>
      <c r="D14" s="171">
        <v>12764150</v>
      </c>
      <c r="E14" s="172">
        <v>0.99</v>
      </c>
      <c r="F14" s="172">
        <v>0.93</v>
      </c>
      <c r="G14" s="171">
        <f>D14*F14</f>
        <v>11870659.5</v>
      </c>
      <c r="H14" s="171">
        <f>SUM(D14-G14)</f>
        <v>893490.5</v>
      </c>
      <c r="I14" s="140" t="s">
        <v>329</v>
      </c>
    </row>
    <row r="15" spans="1:9" x14ac:dyDescent="0.25">
      <c r="A15" s="355" t="s">
        <v>205</v>
      </c>
      <c r="B15" s="356"/>
      <c r="C15" s="164"/>
      <c r="D15" s="165">
        <f>SUM(D16:D24)</f>
        <v>31005834.830000002</v>
      </c>
      <c r="E15" s="166"/>
      <c r="F15" s="173"/>
      <c r="G15" s="165">
        <f>SUM(G16:G24)</f>
        <v>8192144.6136000007</v>
      </c>
      <c r="H15" s="165">
        <f>SUM(H16:H24)</f>
        <v>22493124.216400005</v>
      </c>
      <c r="I15" s="168"/>
    </row>
    <row r="16" spans="1:9" ht="143.25" customHeight="1" x14ac:dyDescent="0.25">
      <c r="A16" s="169">
        <v>7</v>
      </c>
      <c r="B16" s="140" t="s">
        <v>236</v>
      </c>
      <c r="C16" s="175" t="s">
        <v>53</v>
      </c>
      <c r="D16" s="176">
        <v>10897845.41</v>
      </c>
      <c r="E16" s="172">
        <v>0.13</v>
      </c>
      <c r="F16" s="172">
        <v>0.3</v>
      </c>
      <c r="G16" s="171">
        <f t="shared" si="0"/>
        <v>3269353.6230000001</v>
      </c>
      <c r="H16" s="171">
        <f t="shared" si="1"/>
        <v>7628491.7870000005</v>
      </c>
      <c r="I16" s="204" t="s">
        <v>331</v>
      </c>
    </row>
    <row r="17" spans="1:9" ht="76.5" x14ac:dyDescent="0.25">
      <c r="A17" s="169">
        <v>8</v>
      </c>
      <c r="B17" s="145" t="s">
        <v>237</v>
      </c>
      <c r="C17" s="170" t="s">
        <v>53</v>
      </c>
      <c r="D17" s="171">
        <v>4490029.2300000004</v>
      </c>
      <c r="E17" s="172">
        <v>0.35</v>
      </c>
      <c r="F17" s="172">
        <v>0.26</v>
      </c>
      <c r="G17" s="171">
        <f t="shared" si="0"/>
        <v>1167407.5998000002</v>
      </c>
      <c r="H17" s="171">
        <f t="shared" si="1"/>
        <v>3322621.6302000005</v>
      </c>
      <c r="I17" s="204" t="s">
        <v>239</v>
      </c>
    </row>
    <row r="18" spans="1:9" ht="114.75" x14ac:dyDescent="0.25">
      <c r="A18" s="31">
        <v>9</v>
      </c>
      <c r="B18" s="146" t="s">
        <v>238</v>
      </c>
      <c r="C18" s="23" t="s">
        <v>53</v>
      </c>
      <c r="D18" s="24">
        <v>5887449.0300000003</v>
      </c>
      <c r="E18" s="26">
        <v>0</v>
      </c>
      <c r="F18" s="26">
        <v>0.2</v>
      </c>
      <c r="G18" s="24">
        <f t="shared" si="0"/>
        <v>1177489.8060000001</v>
      </c>
      <c r="H18" s="24">
        <f t="shared" si="1"/>
        <v>4709959.2240000004</v>
      </c>
      <c r="I18" s="204" t="s">
        <v>330</v>
      </c>
    </row>
    <row r="19" spans="1:9" ht="90.75" customHeight="1" x14ac:dyDescent="0.25">
      <c r="A19" s="31">
        <v>10</v>
      </c>
      <c r="B19" s="25" t="s">
        <v>240</v>
      </c>
      <c r="C19" s="23" t="s">
        <v>53</v>
      </c>
      <c r="D19" s="24">
        <v>5991523.9800000004</v>
      </c>
      <c r="E19" s="26">
        <v>0.04</v>
      </c>
      <c r="F19" s="26">
        <v>0.2</v>
      </c>
      <c r="G19" s="24">
        <f t="shared" si="0"/>
        <v>1198304.7960000001</v>
      </c>
      <c r="H19" s="24">
        <f t="shared" si="1"/>
        <v>4793219.1840000004</v>
      </c>
      <c r="I19" s="204" t="s">
        <v>241</v>
      </c>
    </row>
    <row r="20" spans="1:9" ht="119.25" customHeight="1" x14ac:dyDescent="0.25">
      <c r="A20" s="181">
        <v>11</v>
      </c>
      <c r="B20" s="125" t="s">
        <v>206</v>
      </c>
      <c r="C20" s="126"/>
      <c r="D20" s="127">
        <v>516348</v>
      </c>
      <c r="E20" s="128">
        <v>1</v>
      </c>
      <c r="F20" s="128">
        <v>0.82</v>
      </c>
      <c r="G20" s="129">
        <f>D20*F20</f>
        <v>423405.36</v>
      </c>
      <c r="H20" s="129">
        <f>SUM(D20-G20)</f>
        <v>92942.640000000014</v>
      </c>
      <c r="I20" s="204" t="s">
        <v>333</v>
      </c>
    </row>
    <row r="21" spans="1:9" ht="123.75" customHeight="1" x14ac:dyDescent="0.25">
      <c r="A21" s="177">
        <v>12</v>
      </c>
      <c r="B21" s="141" t="s">
        <v>246</v>
      </c>
      <c r="C21" s="178" t="s">
        <v>45</v>
      </c>
      <c r="D21" s="179">
        <v>706296.3</v>
      </c>
      <c r="E21" s="180">
        <v>1</v>
      </c>
      <c r="F21" s="180">
        <v>0.92</v>
      </c>
      <c r="G21" s="179">
        <f>D21*F21</f>
        <v>649792.59600000002</v>
      </c>
      <c r="H21" s="179">
        <f>SUM(D21-G21)</f>
        <v>56503.704000000027</v>
      </c>
      <c r="I21" s="204" t="s">
        <v>334</v>
      </c>
    </row>
    <row r="22" spans="1:9" ht="76.5" x14ac:dyDescent="0.25">
      <c r="A22" s="177">
        <v>13</v>
      </c>
      <c r="B22" s="144" t="s">
        <v>232</v>
      </c>
      <c r="C22" s="178" t="s">
        <v>47</v>
      </c>
      <c r="D22" s="179">
        <v>324276.88</v>
      </c>
      <c r="E22" s="180">
        <v>0.7</v>
      </c>
      <c r="F22" s="180">
        <v>0.31</v>
      </c>
      <c r="G22" s="179">
        <f>D22*F22</f>
        <v>100525.8328</v>
      </c>
      <c r="H22" s="179">
        <f>SUM(D22-G22)</f>
        <v>223751.0472</v>
      </c>
      <c r="I22" s="204" t="s">
        <v>335</v>
      </c>
    </row>
    <row r="23" spans="1:9" ht="102" x14ac:dyDescent="0.25">
      <c r="A23" s="182">
        <v>14</v>
      </c>
      <c r="B23" s="143" t="s">
        <v>209</v>
      </c>
      <c r="C23" s="144" t="s">
        <v>48</v>
      </c>
      <c r="D23" s="179">
        <v>1871500</v>
      </c>
      <c r="E23" s="180">
        <v>7.0000000000000007E-2</v>
      </c>
      <c r="F23" s="180">
        <v>0.11</v>
      </c>
      <c r="G23" s="179">
        <f>D23*F23</f>
        <v>205865</v>
      </c>
      <c r="H23" s="179">
        <f>SUM(D23-G23)</f>
        <v>1665635</v>
      </c>
      <c r="I23" s="204" t="s">
        <v>336</v>
      </c>
    </row>
    <row r="24" spans="1:9" ht="102" x14ac:dyDescent="0.25">
      <c r="A24" s="214">
        <v>15</v>
      </c>
      <c r="B24" s="200" t="s">
        <v>128</v>
      </c>
      <c r="C24" s="75" t="s">
        <v>129</v>
      </c>
      <c r="D24" s="63">
        <v>320566</v>
      </c>
      <c r="E24" s="64">
        <v>45000</v>
      </c>
      <c r="F24" s="65">
        <v>50</v>
      </c>
      <c r="G24" s="65">
        <v>0</v>
      </c>
      <c r="H24" s="65"/>
      <c r="I24" s="204" t="s">
        <v>337</v>
      </c>
    </row>
  </sheetData>
  <sheetProtection formatCells="0" formatColumns="0" formatRows="0" insertColumns="0" insertRows="0" insertHyperlinks="0" deleteColumns="0" deleteRows="0" sort="0" autoFilter="0" pivotTables="0"/>
  <mergeCells count="6">
    <mergeCell ref="A15:B15"/>
    <mergeCell ref="A1:I1"/>
    <mergeCell ref="A2:I2"/>
    <mergeCell ref="A3:I3"/>
    <mergeCell ref="A7:B7"/>
    <mergeCell ref="A9:B9"/>
  </mergeCells>
  <pageMargins left="0.70866141732283472" right="0.70866141732283472" top="0.74803149606299213" bottom="0.74803149606299213" header="0.31496062992125984" footer="0.31496062992125984"/>
  <pageSetup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3" workbookViewId="0">
      <selection activeCell="G15" sqref="G15"/>
    </sheetView>
  </sheetViews>
  <sheetFormatPr baseColWidth="10" defaultRowHeight="15" x14ac:dyDescent="0.25"/>
  <cols>
    <col min="1" max="1" width="5" bestFit="1" customWidth="1"/>
    <col min="2" max="2" width="16" customWidth="1"/>
    <col min="3" max="3" width="0" hidden="1" customWidth="1"/>
    <col min="4" max="4" width="45.140625" customWidth="1"/>
    <col min="5" max="5" width="19.28515625" customWidth="1"/>
    <col min="6" max="6" width="15.5703125" style="151" customWidth="1"/>
    <col min="7" max="7" width="12.140625" bestFit="1" customWidth="1"/>
    <col min="8" max="8" width="15.42578125" customWidth="1"/>
  </cols>
  <sheetData>
    <row r="1" spans="1:8" ht="15.75" x14ac:dyDescent="0.25">
      <c r="A1" s="311" t="s">
        <v>1</v>
      </c>
      <c r="B1" s="311"/>
      <c r="C1" s="311"/>
      <c r="D1" s="311"/>
      <c r="E1" s="311"/>
      <c r="F1" s="311"/>
      <c r="G1" s="311"/>
      <c r="H1" s="311"/>
    </row>
    <row r="2" spans="1:8" ht="15.75" x14ac:dyDescent="0.25">
      <c r="A2" s="360" t="s">
        <v>163</v>
      </c>
      <c r="B2" s="360"/>
      <c r="C2" s="360"/>
      <c r="D2" s="360"/>
      <c r="E2" s="360"/>
      <c r="F2" s="360"/>
      <c r="G2" s="360"/>
      <c r="H2" s="360"/>
    </row>
    <row r="3" spans="1:8" ht="16.5" thickBot="1" x14ac:dyDescent="0.3">
      <c r="A3" s="38"/>
      <c r="B3" s="38"/>
      <c r="C3" s="38"/>
      <c r="D3" s="38"/>
      <c r="E3" s="133"/>
      <c r="F3" s="38"/>
      <c r="G3" s="38"/>
      <c r="H3" s="38"/>
    </row>
    <row r="4" spans="1:8" ht="49.5" x14ac:dyDescent="0.25">
      <c r="A4" s="215" t="s">
        <v>2</v>
      </c>
      <c r="B4" s="216" t="s">
        <v>8</v>
      </c>
      <c r="C4" s="216" t="s">
        <v>3</v>
      </c>
      <c r="D4" s="216" t="s">
        <v>4</v>
      </c>
      <c r="E4" s="216" t="s">
        <v>338</v>
      </c>
      <c r="F4" s="216" t="s">
        <v>66</v>
      </c>
      <c r="G4" s="216" t="s">
        <v>249</v>
      </c>
      <c r="H4" s="216" t="s">
        <v>249</v>
      </c>
    </row>
    <row r="5" spans="1:8" ht="15.75" x14ac:dyDescent="0.25">
      <c r="A5" s="361" t="s">
        <v>6</v>
      </c>
      <c r="B5" s="362"/>
      <c r="C5" s="362"/>
      <c r="D5" s="362"/>
      <c r="E5" s="134">
        <f>SUM(E6+E8+E11+E18+E21+E28+E32)</f>
        <v>65298032.810000002</v>
      </c>
      <c r="F5" s="135"/>
      <c r="G5" s="135"/>
      <c r="H5" s="135"/>
    </row>
    <row r="6" spans="1:8" ht="17.25" thickBot="1" x14ac:dyDescent="0.3">
      <c r="A6" s="357" t="s">
        <v>0</v>
      </c>
      <c r="B6" s="358"/>
      <c r="C6" s="358"/>
      <c r="D6" s="358"/>
      <c r="E6" s="217">
        <f>SUM(E7:E7)</f>
        <v>3330588</v>
      </c>
      <c r="F6" s="218"/>
      <c r="G6" s="219"/>
      <c r="H6" s="220"/>
    </row>
    <row r="7" spans="1:8" ht="63.75" thickTop="1" x14ac:dyDescent="0.25">
      <c r="A7" s="61">
        <v>1</v>
      </c>
      <c r="B7" s="61" t="s">
        <v>164</v>
      </c>
      <c r="C7" s="62" t="s">
        <v>71</v>
      </c>
      <c r="D7" s="63" t="s">
        <v>165</v>
      </c>
      <c r="E7" s="152">
        <v>3330588</v>
      </c>
      <c r="F7" s="65">
        <v>8260</v>
      </c>
      <c r="G7" s="136">
        <v>1</v>
      </c>
      <c r="H7" s="136">
        <v>1</v>
      </c>
    </row>
    <row r="8" spans="1:8" ht="17.25" thickBot="1" x14ac:dyDescent="0.3">
      <c r="A8" s="357" t="s">
        <v>81</v>
      </c>
      <c r="B8" s="358"/>
      <c r="C8" s="358"/>
      <c r="D8" s="358"/>
      <c r="E8" s="217">
        <f>SUM(E9:E10)</f>
        <v>3231558.32</v>
      </c>
      <c r="F8" s="218"/>
      <c r="G8" s="219"/>
      <c r="H8" s="220"/>
    </row>
    <row r="9" spans="1:8" ht="48" thickTop="1" x14ac:dyDescent="0.25">
      <c r="A9" s="61">
        <v>2</v>
      </c>
      <c r="B9" s="61" t="s">
        <v>166</v>
      </c>
      <c r="C9" s="62"/>
      <c r="D9" s="63" t="s">
        <v>167</v>
      </c>
      <c r="E9" s="152">
        <v>3222558.32</v>
      </c>
      <c r="F9" s="137">
        <v>179743</v>
      </c>
      <c r="G9" s="65">
        <v>100</v>
      </c>
      <c r="H9" s="136">
        <v>1</v>
      </c>
    </row>
    <row r="10" spans="1:8" ht="31.5" x14ac:dyDescent="0.25">
      <c r="A10" s="61">
        <v>3</v>
      </c>
      <c r="B10" s="61" t="s">
        <v>168</v>
      </c>
      <c r="C10" s="62"/>
      <c r="D10" s="63" t="s">
        <v>169</v>
      </c>
      <c r="E10" s="152">
        <v>9000</v>
      </c>
      <c r="F10" s="137">
        <v>5000</v>
      </c>
      <c r="G10" s="65">
        <v>100</v>
      </c>
      <c r="H10" s="136">
        <v>1</v>
      </c>
    </row>
    <row r="11" spans="1:8" ht="17.25" thickBot="1" x14ac:dyDescent="0.3">
      <c r="A11" s="357" t="s">
        <v>7</v>
      </c>
      <c r="B11" s="358"/>
      <c r="C11" s="358"/>
      <c r="D11" s="358"/>
      <c r="E11" s="217">
        <f>SUM(E12:E17)</f>
        <v>29632547.550000001</v>
      </c>
      <c r="F11" s="218"/>
      <c r="G11" s="219"/>
      <c r="H11" s="220"/>
    </row>
    <row r="12" spans="1:8" ht="32.25" thickTop="1" x14ac:dyDescent="0.25">
      <c r="A12" s="61">
        <v>4</v>
      </c>
      <c r="B12" s="61" t="s">
        <v>170</v>
      </c>
      <c r="C12" s="62"/>
      <c r="D12" s="63" t="s">
        <v>98</v>
      </c>
      <c r="E12" s="152">
        <v>4011258.05</v>
      </c>
      <c r="F12" s="137">
        <v>51670</v>
      </c>
      <c r="G12" s="65">
        <v>100</v>
      </c>
      <c r="H12" s="136">
        <v>1</v>
      </c>
    </row>
    <row r="13" spans="1:8" ht="63" x14ac:dyDescent="0.25">
      <c r="A13" s="61">
        <v>5</v>
      </c>
      <c r="B13" s="61" t="s">
        <v>171</v>
      </c>
      <c r="C13" s="62"/>
      <c r="D13" s="63" t="s">
        <v>172</v>
      </c>
      <c r="E13" s="152">
        <v>677143.2</v>
      </c>
      <c r="F13" s="137">
        <v>51670</v>
      </c>
      <c r="G13" s="65">
        <v>100</v>
      </c>
      <c r="H13" s="136">
        <v>1</v>
      </c>
    </row>
    <row r="14" spans="1:8" ht="31.5" x14ac:dyDescent="0.25">
      <c r="A14" s="61">
        <v>6</v>
      </c>
      <c r="B14" s="61" t="s">
        <v>173</v>
      </c>
      <c r="C14" s="62"/>
      <c r="D14" s="63" t="s">
        <v>174</v>
      </c>
      <c r="E14" s="152">
        <v>23085567</v>
      </c>
      <c r="F14" s="137">
        <v>55269</v>
      </c>
      <c r="G14" s="65">
        <v>100</v>
      </c>
      <c r="H14" s="136">
        <v>0.9</v>
      </c>
    </row>
    <row r="15" spans="1:8" ht="75.75" customHeight="1" x14ac:dyDescent="0.25">
      <c r="A15" s="31">
        <v>7</v>
      </c>
      <c r="B15" s="25" t="s">
        <v>171</v>
      </c>
      <c r="C15" s="25" t="s">
        <v>52</v>
      </c>
      <c r="D15" s="25" t="s">
        <v>248</v>
      </c>
      <c r="E15" s="24">
        <v>706296.3</v>
      </c>
      <c r="F15" s="26">
        <v>1</v>
      </c>
      <c r="G15" s="24">
        <v>100</v>
      </c>
      <c r="H15" s="136">
        <v>1</v>
      </c>
    </row>
    <row r="16" spans="1:8" ht="15.75" x14ac:dyDescent="0.25">
      <c r="A16" s="31">
        <v>8</v>
      </c>
      <c r="B16" s="25" t="s">
        <v>247</v>
      </c>
      <c r="C16" s="23" t="s">
        <v>27</v>
      </c>
      <c r="D16" s="25" t="s">
        <v>248</v>
      </c>
      <c r="E16" s="24">
        <v>618900</v>
      </c>
      <c r="F16" s="26">
        <v>1</v>
      </c>
      <c r="G16" s="24">
        <v>100</v>
      </c>
      <c r="H16" s="136">
        <v>1</v>
      </c>
    </row>
    <row r="17" spans="1:8" ht="31.5" x14ac:dyDescent="0.25">
      <c r="A17" s="93">
        <v>9</v>
      </c>
      <c r="B17" s="93" t="s">
        <v>176</v>
      </c>
      <c r="C17" s="62" t="s">
        <v>177</v>
      </c>
      <c r="D17" s="63" t="s">
        <v>178</v>
      </c>
      <c r="E17" s="152">
        <v>533383</v>
      </c>
      <c r="F17" s="137">
        <v>3875</v>
      </c>
      <c r="G17" s="65">
        <v>100</v>
      </c>
      <c r="H17" s="136">
        <v>1</v>
      </c>
    </row>
    <row r="18" spans="1:8" ht="17.25" thickBot="1" x14ac:dyDescent="0.3">
      <c r="A18" s="357" t="s">
        <v>179</v>
      </c>
      <c r="B18" s="358"/>
      <c r="C18" s="358"/>
      <c r="D18" s="358"/>
      <c r="E18" s="217">
        <f>SUM(E19:E20)</f>
        <v>4172207.5</v>
      </c>
      <c r="F18" s="218"/>
      <c r="G18" s="219"/>
      <c r="H18" s="220"/>
    </row>
    <row r="19" spans="1:8" ht="32.25" thickTop="1" x14ac:dyDescent="0.25">
      <c r="A19" s="61">
        <v>10</v>
      </c>
      <c r="B19" s="61" t="s">
        <v>180</v>
      </c>
      <c r="C19" s="62" t="s">
        <v>181</v>
      </c>
      <c r="D19" s="63" t="s">
        <v>182</v>
      </c>
      <c r="E19" s="152">
        <v>64467.5</v>
      </c>
      <c r="F19" s="137">
        <v>2143</v>
      </c>
      <c r="G19" s="65">
        <v>100</v>
      </c>
      <c r="H19" s="136">
        <v>1</v>
      </c>
    </row>
    <row r="20" spans="1:8" ht="15.75" x14ac:dyDescent="0.25">
      <c r="A20" s="93">
        <v>11</v>
      </c>
      <c r="B20" s="93" t="s">
        <v>180</v>
      </c>
      <c r="C20" s="62" t="s">
        <v>181</v>
      </c>
      <c r="D20" s="63" t="s">
        <v>183</v>
      </c>
      <c r="E20" s="152">
        <v>4107740</v>
      </c>
      <c r="F20" s="137">
        <v>2143</v>
      </c>
      <c r="G20" s="65">
        <v>100</v>
      </c>
      <c r="H20" s="136">
        <v>1</v>
      </c>
    </row>
    <row r="21" spans="1:8" ht="17.25" thickBot="1" x14ac:dyDescent="0.3">
      <c r="A21" s="357" t="s">
        <v>184</v>
      </c>
      <c r="B21" s="358"/>
      <c r="C21" s="358"/>
      <c r="D21" s="358"/>
      <c r="E21" s="217">
        <f>SUM(E22:E27)</f>
        <v>10587902.58</v>
      </c>
      <c r="F21" s="218"/>
      <c r="G21" s="219"/>
      <c r="H21" s="220"/>
    </row>
    <row r="22" spans="1:8" ht="32.25" thickTop="1" x14ac:dyDescent="0.25">
      <c r="A22" s="61">
        <v>12</v>
      </c>
      <c r="B22" s="61" t="s">
        <v>133</v>
      </c>
      <c r="C22" s="62" t="s">
        <v>181</v>
      </c>
      <c r="D22" s="63" t="s">
        <v>185</v>
      </c>
      <c r="E22" s="152">
        <v>144450</v>
      </c>
      <c r="F22" s="150">
        <v>430299</v>
      </c>
      <c r="G22" s="65">
        <v>100</v>
      </c>
      <c r="H22" s="136">
        <v>1</v>
      </c>
    </row>
    <row r="23" spans="1:8" ht="47.25" x14ac:dyDescent="0.25">
      <c r="A23" s="61">
        <v>13</v>
      </c>
      <c r="B23" s="61" t="s">
        <v>186</v>
      </c>
      <c r="C23" s="62" t="s">
        <v>71</v>
      </c>
      <c r="D23" s="63" t="s">
        <v>187</v>
      </c>
      <c r="E23" s="152">
        <v>2268926.27</v>
      </c>
      <c r="F23" s="150">
        <v>2716</v>
      </c>
      <c r="G23" s="65">
        <v>100</v>
      </c>
      <c r="H23" s="136">
        <v>1</v>
      </c>
    </row>
    <row r="24" spans="1:8" ht="31.5" x14ac:dyDescent="0.25">
      <c r="A24" s="61">
        <v>14</v>
      </c>
      <c r="B24" s="61" t="s">
        <v>133</v>
      </c>
      <c r="C24" s="62" t="s">
        <v>109</v>
      </c>
      <c r="D24" s="63" t="s">
        <v>188</v>
      </c>
      <c r="E24" s="152">
        <v>1654893.25</v>
      </c>
      <c r="F24" s="150">
        <v>1516436</v>
      </c>
      <c r="G24" s="65">
        <v>100</v>
      </c>
      <c r="H24" s="136">
        <v>1</v>
      </c>
    </row>
    <row r="25" spans="1:8" ht="31.5" x14ac:dyDescent="0.25">
      <c r="A25" s="61">
        <v>15</v>
      </c>
      <c r="B25" s="61" t="s">
        <v>189</v>
      </c>
      <c r="C25" s="62" t="s">
        <v>109</v>
      </c>
      <c r="D25" s="63" t="s">
        <v>190</v>
      </c>
      <c r="E25" s="152">
        <v>4883006</v>
      </c>
      <c r="F25" s="150">
        <v>56583</v>
      </c>
      <c r="G25" s="65">
        <v>100</v>
      </c>
      <c r="H25" s="136">
        <v>1</v>
      </c>
    </row>
    <row r="26" spans="1:8" ht="47.25" x14ac:dyDescent="0.25">
      <c r="A26" s="61">
        <v>16</v>
      </c>
      <c r="B26" s="61" t="s">
        <v>191</v>
      </c>
      <c r="C26" s="62"/>
      <c r="D26" s="63" t="s">
        <v>192</v>
      </c>
      <c r="E26" s="152">
        <v>1017685.56</v>
      </c>
      <c r="F26" s="150">
        <v>1516436</v>
      </c>
      <c r="G26" s="65">
        <v>100</v>
      </c>
      <c r="H26" s="136">
        <v>1</v>
      </c>
    </row>
    <row r="27" spans="1:8" s="147" customFormat="1" ht="31.5" x14ac:dyDescent="0.25">
      <c r="A27" s="93">
        <v>17</v>
      </c>
      <c r="B27" s="93" t="s">
        <v>193</v>
      </c>
      <c r="C27" s="62"/>
      <c r="D27" s="63" t="s">
        <v>194</v>
      </c>
      <c r="E27" s="152">
        <v>618941.5</v>
      </c>
      <c r="F27" s="65"/>
      <c r="G27" s="65">
        <v>100</v>
      </c>
      <c r="H27" s="136">
        <v>1</v>
      </c>
    </row>
    <row r="28" spans="1:8" ht="16.5" x14ac:dyDescent="0.25">
      <c r="A28" s="358" t="s">
        <v>152</v>
      </c>
      <c r="B28" s="358"/>
      <c r="C28" s="358"/>
      <c r="D28" s="359"/>
      <c r="E28" s="217">
        <f>SUM(E29:E31)</f>
        <v>12232115.74</v>
      </c>
      <c r="F28" s="218"/>
      <c r="G28" s="219"/>
      <c r="H28" s="220"/>
    </row>
    <row r="29" spans="1:8" s="147" customFormat="1" ht="47.25" x14ac:dyDescent="0.25">
      <c r="A29" s="93">
        <v>18</v>
      </c>
      <c r="B29" s="93" t="s">
        <v>195</v>
      </c>
      <c r="C29" s="62" t="s">
        <v>181</v>
      </c>
      <c r="D29" s="63" t="s">
        <v>196</v>
      </c>
      <c r="E29" s="152">
        <v>5395395.7400000002</v>
      </c>
      <c r="F29" s="150">
        <v>255718</v>
      </c>
      <c r="G29" s="148">
        <v>100</v>
      </c>
      <c r="H29" s="149">
        <v>1</v>
      </c>
    </row>
    <row r="30" spans="1:8" s="147" customFormat="1" ht="31.5" x14ac:dyDescent="0.25">
      <c r="A30" s="93">
        <v>19</v>
      </c>
      <c r="B30" s="93" t="s">
        <v>197</v>
      </c>
      <c r="C30" s="62"/>
      <c r="D30" s="63" t="s">
        <v>175</v>
      </c>
      <c r="E30" s="152">
        <v>89000</v>
      </c>
      <c r="F30" s="150">
        <v>2500</v>
      </c>
      <c r="G30" s="148">
        <v>100</v>
      </c>
      <c r="H30" s="149">
        <v>1</v>
      </c>
    </row>
    <row r="31" spans="1:8" s="147" customFormat="1" ht="31.5" x14ac:dyDescent="0.25">
      <c r="A31" s="93">
        <v>20</v>
      </c>
      <c r="B31" s="93" t="s">
        <v>212</v>
      </c>
      <c r="C31" s="62" t="s">
        <v>109</v>
      </c>
      <c r="D31" s="63" t="s">
        <v>213</v>
      </c>
      <c r="E31" s="152">
        <v>6747720</v>
      </c>
      <c r="F31" s="150">
        <v>276999</v>
      </c>
      <c r="G31" s="148">
        <v>100</v>
      </c>
      <c r="H31" s="149">
        <v>1</v>
      </c>
    </row>
    <row r="32" spans="1:8" ht="17.25" thickBot="1" x14ac:dyDescent="0.3">
      <c r="A32" s="357" t="s">
        <v>154</v>
      </c>
      <c r="B32" s="358"/>
      <c r="C32" s="358"/>
      <c r="D32" s="358"/>
      <c r="E32" s="217">
        <f>SUM(E33:E33)</f>
        <v>2111113.12</v>
      </c>
      <c r="F32" s="218"/>
      <c r="G32" s="219"/>
      <c r="H32" s="220"/>
    </row>
    <row r="33" spans="1:8" ht="16.5" thickTop="1" x14ac:dyDescent="0.25">
      <c r="A33" s="61">
        <v>21</v>
      </c>
      <c r="B33" s="61" t="s">
        <v>198</v>
      </c>
      <c r="C33" s="62" t="s">
        <v>199</v>
      </c>
      <c r="D33" s="63" t="s">
        <v>200</v>
      </c>
      <c r="E33" s="152">
        <v>2111113.12</v>
      </c>
      <c r="F33" s="150">
        <v>2066</v>
      </c>
      <c r="G33" s="65">
        <v>100</v>
      </c>
      <c r="H33" s="138">
        <v>1</v>
      </c>
    </row>
  </sheetData>
  <sheetProtection algorithmName="SHA-512" hashValue="iR18cTfJK/79uUCd4rQ7KYch4V8UHqTcQqU5nMa8y8C6HZi6N/RRT66nUyky59b7Ny+BAX1G9KFXvkT5exqXgw==" saltValue="5ldoXw011UqJ2qGAUwEgsg==" spinCount="100000" sheet="1" formatCells="0" formatColumns="0" formatRows="0" insertColumns="0" insertRows="0" insertHyperlinks="0" deleteColumns="0" deleteRows="0" sort="0" autoFilter="0" pivotTables="0"/>
  <mergeCells count="10">
    <mergeCell ref="A1:H1"/>
    <mergeCell ref="A2:H2"/>
    <mergeCell ref="A5:D5"/>
    <mergeCell ref="A6:D6"/>
    <mergeCell ref="A8:D8"/>
    <mergeCell ref="A11:D11"/>
    <mergeCell ref="A18:D18"/>
    <mergeCell ref="A21:D21"/>
    <mergeCell ref="A28:D28"/>
    <mergeCell ref="A32:D3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G11" sqref="G11"/>
    </sheetView>
  </sheetViews>
  <sheetFormatPr baseColWidth="10" defaultRowHeight="15" x14ac:dyDescent="0.25"/>
  <cols>
    <col min="1" max="1" width="4.42578125" customWidth="1"/>
    <col min="2" max="2" width="44.5703125" customWidth="1"/>
    <col min="3" max="3" width="13.42578125" customWidth="1"/>
    <col min="4" max="4" width="14.140625" bestFit="1" customWidth="1"/>
    <col min="5" max="5" width="13.5703125" customWidth="1"/>
    <col min="6" max="6" width="12.5703125" customWidth="1"/>
    <col min="7" max="7" width="16.5703125" customWidth="1"/>
    <col min="8" max="8" width="30.140625" customWidth="1"/>
  </cols>
  <sheetData>
    <row r="1" spans="1:11" ht="18" x14ac:dyDescent="0.25">
      <c r="A1" s="363" t="s">
        <v>13</v>
      </c>
      <c r="B1" s="363"/>
      <c r="C1" s="363"/>
      <c r="D1" s="363"/>
      <c r="E1" s="363"/>
      <c r="F1" s="363"/>
      <c r="G1" s="363"/>
      <c r="H1" s="363"/>
    </row>
    <row r="2" spans="1:11" ht="39" customHeight="1" x14ac:dyDescent="0.25">
      <c r="A2" s="363" t="s">
        <v>409</v>
      </c>
      <c r="B2" s="363"/>
      <c r="C2" s="363"/>
      <c r="D2" s="363"/>
      <c r="E2" s="363"/>
      <c r="F2" s="363"/>
      <c r="G2" s="363"/>
      <c r="H2" s="363"/>
      <c r="I2" s="244"/>
      <c r="J2" s="244"/>
      <c r="K2" s="244"/>
    </row>
    <row r="3" spans="1:11" ht="56.25" customHeight="1" x14ac:dyDescent="0.25">
      <c r="A3" s="245" t="s">
        <v>2</v>
      </c>
      <c r="B3" s="246" t="s">
        <v>410</v>
      </c>
      <c r="C3" s="246" t="s">
        <v>411</v>
      </c>
      <c r="D3" s="246" t="s">
        <v>412</v>
      </c>
      <c r="E3" s="246" t="s">
        <v>413</v>
      </c>
      <c r="F3" s="246" t="s">
        <v>414</v>
      </c>
      <c r="G3" s="246" t="s">
        <v>415</v>
      </c>
      <c r="H3" s="246" t="s">
        <v>416</v>
      </c>
    </row>
    <row r="4" spans="1:11" ht="21.75" customHeight="1" x14ac:dyDescent="0.25">
      <c r="A4" s="247"/>
      <c r="B4" s="248" t="s">
        <v>417</v>
      </c>
      <c r="C4" s="249"/>
      <c r="D4" s="250"/>
      <c r="E4" s="250"/>
      <c r="F4" s="250"/>
      <c r="G4" s="249"/>
      <c r="H4" s="249"/>
    </row>
    <row r="5" spans="1:11" ht="69" customHeight="1" x14ac:dyDescent="0.25">
      <c r="A5" s="221">
        <v>1</v>
      </c>
      <c r="B5" s="221" t="s">
        <v>418</v>
      </c>
      <c r="C5" s="251">
        <v>2795</v>
      </c>
      <c r="D5" s="252" t="s">
        <v>254</v>
      </c>
      <c r="E5" s="252" t="s">
        <v>419</v>
      </c>
      <c r="F5" s="252" t="s">
        <v>420</v>
      </c>
      <c r="G5" s="252" t="s">
        <v>11</v>
      </c>
      <c r="H5" s="222" t="s">
        <v>421</v>
      </c>
    </row>
    <row r="6" spans="1:11" ht="51" customHeight="1" x14ac:dyDescent="0.25">
      <c r="A6" s="221">
        <v>2</v>
      </c>
      <c r="B6" s="221" t="s">
        <v>422</v>
      </c>
      <c r="C6" s="251">
        <v>915</v>
      </c>
      <c r="D6" s="252" t="s">
        <v>254</v>
      </c>
      <c r="E6" s="252" t="s">
        <v>419</v>
      </c>
      <c r="F6" s="252" t="s">
        <v>423</v>
      </c>
      <c r="G6" s="252" t="s">
        <v>11</v>
      </c>
      <c r="H6" s="222" t="s">
        <v>424</v>
      </c>
    </row>
    <row r="7" spans="1:11" ht="51" customHeight="1" x14ac:dyDescent="0.25">
      <c r="A7" s="221">
        <v>3</v>
      </c>
      <c r="B7" s="221" t="s">
        <v>425</v>
      </c>
      <c r="C7" s="251">
        <v>2257</v>
      </c>
      <c r="D7" s="252" t="s">
        <v>254</v>
      </c>
      <c r="E7" s="252" t="s">
        <v>419</v>
      </c>
      <c r="F7" s="252" t="s">
        <v>426</v>
      </c>
      <c r="G7" s="252" t="s">
        <v>11</v>
      </c>
      <c r="H7" s="222" t="s">
        <v>427</v>
      </c>
    </row>
    <row r="8" spans="1:11" ht="51" customHeight="1" x14ac:dyDescent="0.25">
      <c r="A8" s="221">
        <v>4</v>
      </c>
      <c r="B8" s="221" t="s">
        <v>428</v>
      </c>
      <c r="C8" s="251">
        <v>4164</v>
      </c>
      <c r="D8" s="252" t="s">
        <v>254</v>
      </c>
      <c r="E8" s="252" t="s">
        <v>419</v>
      </c>
      <c r="F8" s="252" t="s">
        <v>426</v>
      </c>
      <c r="G8" s="252" t="s">
        <v>11</v>
      </c>
      <c r="H8" s="222" t="s">
        <v>429</v>
      </c>
    </row>
    <row r="9" spans="1:11" ht="65.25" customHeight="1" x14ac:dyDescent="0.25">
      <c r="A9" s="221">
        <v>5</v>
      </c>
      <c r="B9" s="221" t="s">
        <v>430</v>
      </c>
      <c r="C9" s="251">
        <v>836</v>
      </c>
      <c r="D9" s="252" t="s">
        <v>254</v>
      </c>
      <c r="E9" s="252" t="s">
        <v>419</v>
      </c>
      <c r="F9" s="252" t="s">
        <v>431</v>
      </c>
      <c r="G9" s="252" t="s">
        <v>11</v>
      </c>
      <c r="H9" s="222" t="s">
        <v>432</v>
      </c>
    </row>
    <row r="10" spans="1:11" ht="51" customHeight="1" x14ac:dyDescent="0.25">
      <c r="A10" s="221">
        <v>6</v>
      </c>
      <c r="B10" s="221" t="s">
        <v>433</v>
      </c>
      <c r="C10" s="251">
        <v>1300</v>
      </c>
      <c r="D10" s="252" t="s">
        <v>254</v>
      </c>
      <c r="E10" s="252" t="s">
        <v>419</v>
      </c>
      <c r="F10" s="252" t="s">
        <v>434</v>
      </c>
      <c r="G10" s="252" t="s">
        <v>11</v>
      </c>
      <c r="H10" s="253" t="s">
        <v>340</v>
      </c>
    </row>
    <row r="11" spans="1:11" ht="51" customHeight="1" x14ac:dyDescent="0.25">
      <c r="A11" s="221">
        <v>7</v>
      </c>
      <c r="B11" s="221" t="s">
        <v>435</v>
      </c>
      <c r="C11" s="251">
        <v>787</v>
      </c>
      <c r="D11" s="252" t="s">
        <v>254</v>
      </c>
      <c r="E11" s="252" t="s">
        <v>419</v>
      </c>
      <c r="F11" s="252" t="s">
        <v>436</v>
      </c>
      <c r="G11" s="252" t="s">
        <v>11</v>
      </c>
      <c r="H11" s="253" t="s">
        <v>340</v>
      </c>
    </row>
    <row r="12" spans="1:11" ht="51" customHeight="1" x14ac:dyDescent="0.25">
      <c r="A12" s="221">
        <v>8</v>
      </c>
      <c r="B12" s="221" t="s">
        <v>437</v>
      </c>
      <c r="C12" s="251">
        <v>1760</v>
      </c>
      <c r="D12" s="252" t="s">
        <v>254</v>
      </c>
      <c r="E12" s="252" t="s">
        <v>419</v>
      </c>
      <c r="F12" s="252" t="s">
        <v>438</v>
      </c>
      <c r="G12" s="252" t="s">
        <v>11</v>
      </c>
      <c r="H12" s="253" t="s">
        <v>340</v>
      </c>
    </row>
    <row r="13" spans="1:11" ht="51" customHeight="1" x14ac:dyDescent="0.25">
      <c r="A13" s="221">
        <v>9</v>
      </c>
      <c r="B13" s="221" t="s">
        <v>439</v>
      </c>
      <c r="C13" s="251">
        <v>587</v>
      </c>
      <c r="D13" s="252" t="s">
        <v>254</v>
      </c>
      <c r="E13" s="252" t="s">
        <v>419</v>
      </c>
      <c r="F13" s="252" t="s">
        <v>440</v>
      </c>
      <c r="G13" s="252" t="s">
        <v>11</v>
      </c>
      <c r="H13" s="253" t="s">
        <v>340</v>
      </c>
    </row>
    <row r="14" spans="1:11" ht="51" customHeight="1" x14ac:dyDescent="0.25">
      <c r="A14" s="221">
        <v>10</v>
      </c>
      <c r="B14" s="221" t="s">
        <v>441</v>
      </c>
      <c r="C14" s="251">
        <v>2235</v>
      </c>
      <c r="D14" s="252" t="s">
        <v>254</v>
      </c>
      <c r="E14" s="252" t="s">
        <v>442</v>
      </c>
      <c r="F14" s="252" t="s">
        <v>438</v>
      </c>
      <c r="G14" s="252" t="s">
        <v>11</v>
      </c>
      <c r="H14" s="253" t="s">
        <v>340</v>
      </c>
      <c r="I14" s="254"/>
    </row>
    <row r="15" spans="1:11" ht="51" customHeight="1" x14ac:dyDescent="0.25">
      <c r="A15" s="221">
        <v>11</v>
      </c>
      <c r="B15" s="221" t="s">
        <v>443</v>
      </c>
      <c r="C15" s="251">
        <v>18653</v>
      </c>
      <c r="D15" s="252" t="s">
        <v>254</v>
      </c>
      <c r="E15" s="252" t="s">
        <v>442</v>
      </c>
      <c r="F15" s="252" t="s">
        <v>438</v>
      </c>
      <c r="G15" s="252" t="s">
        <v>11</v>
      </c>
      <c r="H15" s="253" t="s">
        <v>340</v>
      </c>
      <c r="I15" s="254"/>
    </row>
    <row r="16" spans="1:11" ht="64.900000000000006" customHeight="1" x14ac:dyDescent="0.25">
      <c r="A16" s="221">
        <v>12</v>
      </c>
      <c r="B16" s="221" t="s">
        <v>444</v>
      </c>
      <c r="C16" s="251">
        <v>1548</v>
      </c>
      <c r="D16" s="252" t="s">
        <v>254</v>
      </c>
      <c r="E16" s="252" t="s">
        <v>445</v>
      </c>
      <c r="F16" s="252" t="s">
        <v>438</v>
      </c>
      <c r="G16" s="252" t="s">
        <v>11</v>
      </c>
      <c r="H16" s="253" t="s">
        <v>446</v>
      </c>
      <c r="I16" s="254"/>
    </row>
    <row r="17" spans="1:9" ht="64.900000000000006" customHeight="1" x14ac:dyDescent="0.25">
      <c r="A17" s="221">
        <v>13</v>
      </c>
      <c r="B17" s="221" t="s">
        <v>447</v>
      </c>
      <c r="C17" s="251">
        <v>17673</v>
      </c>
      <c r="D17" s="252" t="s">
        <v>254</v>
      </c>
      <c r="E17" s="252" t="s">
        <v>448</v>
      </c>
      <c r="F17" s="252" t="s">
        <v>254</v>
      </c>
      <c r="G17" s="252" t="s">
        <v>11</v>
      </c>
      <c r="H17" s="253" t="s">
        <v>449</v>
      </c>
      <c r="I17" s="254"/>
    </row>
    <row r="18" spans="1:9" ht="27" customHeight="1" x14ac:dyDescent="0.25">
      <c r="A18" s="247"/>
      <c r="B18" s="248" t="s">
        <v>450</v>
      </c>
      <c r="C18" s="249"/>
      <c r="D18" s="250"/>
      <c r="E18" s="250"/>
      <c r="F18" s="250"/>
      <c r="G18" s="249"/>
      <c r="H18" s="249"/>
    </row>
    <row r="19" spans="1:9" s="257" customFormat="1" ht="69" customHeight="1" x14ac:dyDescent="0.25">
      <c r="A19" s="255">
        <v>14</v>
      </c>
      <c r="B19" s="221" t="s">
        <v>451</v>
      </c>
      <c r="C19" s="251">
        <v>21000</v>
      </c>
      <c r="D19" s="252" t="s">
        <v>254</v>
      </c>
      <c r="E19" s="252" t="s">
        <v>452</v>
      </c>
      <c r="F19" s="252" t="s">
        <v>453</v>
      </c>
      <c r="G19" s="256" t="s">
        <v>11</v>
      </c>
      <c r="H19" s="222" t="s">
        <v>454</v>
      </c>
    </row>
    <row r="20" spans="1:9" ht="18" x14ac:dyDescent="0.25">
      <c r="A20" s="258"/>
      <c r="B20" s="259" t="s">
        <v>6</v>
      </c>
      <c r="C20" s="260"/>
      <c r="D20" s="261">
        <f>SUM(D18+D4)</f>
        <v>0</v>
      </c>
      <c r="E20" s="261"/>
      <c r="F20" s="261"/>
      <c r="G20" s="260"/>
      <c r="H20" s="260"/>
    </row>
  </sheetData>
  <mergeCells count="2">
    <mergeCell ref="A2:H2"/>
    <mergeCell ref="A1:H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H44" sqref="H44"/>
    </sheetView>
  </sheetViews>
  <sheetFormatPr baseColWidth="10" defaultRowHeight="14.25" x14ac:dyDescent="0.2"/>
  <cols>
    <col min="1" max="1" width="26.7109375" style="262" bestFit="1" customWidth="1"/>
    <col min="2" max="2" width="26.85546875" style="262" bestFit="1" customWidth="1"/>
    <col min="3" max="3" width="14.5703125" style="262" customWidth="1"/>
    <col min="4" max="4" width="15.85546875" style="262" customWidth="1"/>
    <col min="5" max="5" width="46.42578125" style="262" bestFit="1" customWidth="1"/>
    <col min="6" max="8" width="11.42578125" style="262"/>
    <col min="9" max="9" width="13" style="262" bestFit="1" customWidth="1"/>
    <col min="10" max="16384" width="11.42578125" style="262"/>
  </cols>
  <sheetData>
    <row r="1" spans="1:7" x14ac:dyDescent="0.2">
      <c r="A1" s="368"/>
      <c r="B1" s="368"/>
      <c r="C1" s="368"/>
      <c r="D1" s="368"/>
      <c r="E1" s="368"/>
    </row>
    <row r="2" spans="1:7" ht="18" x14ac:dyDescent="0.25">
      <c r="A2" s="371" t="s">
        <v>455</v>
      </c>
      <c r="B2" s="371"/>
      <c r="C2" s="371"/>
      <c r="D2" s="371"/>
      <c r="E2" s="371"/>
    </row>
    <row r="3" spans="1:7" x14ac:dyDescent="0.2">
      <c r="A3" s="368"/>
      <c r="B3" s="368"/>
      <c r="C3" s="368"/>
      <c r="D3" s="368"/>
      <c r="E3" s="368"/>
    </row>
    <row r="4" spans="1:7" ht="15.75" customHeight="1" x14ac:dyDescent="0.25">
      <c r="A4" s="372" t="s">
        <v>456</v>
      </c>
      <c r="B4" s="372"/>
      <c r="C4" s="372"/>
      <c r="D4" s="372"/>
      <c r="E4" s="372"/>
    </row>
    <row r="5" spans="1:7" ht="18" x14ac:dyDescent="0.25">
      <c r="A5" s="367" t="s">
        <v>457</v>
      </c>
      <c r="B5" s="367"/>
      <c r="C5" s="367"/>
      <c r="D5" s="367"/>
      <c r="E5" s="367"/>
    </row>
    <row r="6" spans="1:7" ht="15.75" x14ac:dyDescent="0.2">
      <c r="A6" s="263" t="s">
        <v>14</v>
      </c>
      <c r="B6" s="263" t="s">
        <v>339</v>
      </c>
      <c r="C6" s="263" t="s">
        <v>458</v>
      </c>
      <c r="D6" s="263" t="s">
        <v>459</v>
      </c>
      <c r="E6" s="264" t="s">
        <v>460</v>
      </c>
    </row>
    <row r="7" spans="1:7" x14ac:dyDescent="0.2">
      <c r="A7" s="265" t="s">
        <v>461</v>
      </c>
      <c r="B7" s="266" t="s">
        <v>462</v>
      </c>
      <c r="C7" s="267">
        <v>319696.65000000002</v>
      </c>
      <c r="D7" s="268">
        <v>8561921</v>
      </c>
      <c r="E7" s="269" t="s">
        <v>463</v>
      </c>
    </row>
    <row r="8" spans="1:7" x14ac:dyDescent="0.2">
      <c r="A8" s="270" t="s">
        <v>464</v>
      </c>
      <c r="B8" s="266" t="s">
        <v>465</v>
      </c>
      <c r="C8" s="267">
        <v>3551136.78</v>
      </c>
      <c r="D8" s="271">
        <v>8566408</v>
      </c>
      <c r="E8" s="272" t="s">
        <v>466</v>
      </c>
    </row>
    <row r="9" spans="1:7" x14ac:dyDescent="0.2">
      <c r="A9" s="270" t="s">
        <v>467</v>
      </c>
      <c r="B9" s="266" t="s">
        <v>468</v>
      </c>
      <c r="C9" s="267">
        <v>0</v>
      </c>
      <c r="D9" s="271">
        <v>8732149</v>
      </c>
      <c r="E9" s="273" t="s">
        <v>469</v>
      </c>
    </row>
    <row r="10" spans="1:7" x14ac:dyDescent="0.2">
      <c r="A10" s="270" t="s">
        <v>470</v>
      </c>
      <c r="B10" s="266" t="s">
        <v>471</v>
      </c>
      <c r="C10" s="267">
        <v>0</v>
      </c>
      <c r="D10" s="271">
        <v>8592252</v>
      </c>
      <c r="E10" s="273" t="s">
        <v>472</v>
      </c>
    </row>
    <row r="11" spans="1:7" x14ac:dyDescent="0.2">
      <c r="A11" s="270" t="s">
        <v>473</v>
      </c>
      <c r="B11" s="266" t="s">
        <v>474</v>
      </c>
      <c r="C11" s="267">
        <v>185601.3</v>
      </c>
      <c r="D11" s="274">
        <v>8588991</v>
      </c>
      <c r="E11" s="269" t="s">
        <v>475</v>
      </c>
      <c r="G11" s="275"/>
    </row>
    <row r="12" spans="1:7" x14ac:dyDescent="0.2">
      <c r="A12" s="270" t="s">
        <v>476</v>
      </c>
      <c r="B12" s="266" t="s">
        <v>477</v>
      </c>
      <c r="C12" s="267">
        <v>500211.21</v>
      </c>
      <c r="D12" s="276">
        <v>8592035</v>
      </c>
      <c r="E12" s="273" t="s">
        <v>478</v>
      </c>
      <c r="G12" s="275"/>
    </row>
    <row r="13" spans="1:7" x14ac:dyDescent="0.2">
      <c r="A13" s="270" t="s">
        <v>479</v>
      </c>
      <c r="B13" s="266" t="s">
        <v>480</v>
      </c>
      <c r="C13" s="267">
        <v>759323.21</v>
      </c>
      <c r="D13" s="274">
        <v>8631641</v>
      </c>
      <c r="E13" s="273" t="s">
        <v>481</v>
      </c>
      <c r="G13" s="275"/>
    </row>
    <row r="15" spans="1:7" x14ac:dyDescent="0.2">
      <c r="A15" s="270"/>
      <c r="B15" s="266"/>
      <c r="C15" s="267"/>
      <c r="D15" s="274"/>
      <c r="E15" s="273"/>
      <c r="G15" s="275"/>
    </row>
    <row r="16" spans="1:7" ht="18" x14ac:dyDescent="0.25">
      <c r="A16" s="367" t="s">
        <v>482</v>
      </c>
      <c r="B16" s="367"/>
      <c r="C16" s="367"/>
      <c r="D16" s="367"/>
      <c r="E16" s="367"/>
    </row>
    <row r="17" spans="1:9" ht="15.75" x14ac:dyDescent="0.2">
      <c r="A17" s="263" t="s">
        <v>14</v>
      </c>
      <c r="B17" s="263" t="s">
        <v>339</v>
      </c>
      <c r="C17" s="263" t="s">
        <v>458</v>
      </c>
      <c r="D17" s="263" t="s">
        <v>459</v>
      </c>
      <c r="E17" s="264" t="s">
        <v>460</v>
      </c>
    </row>
    <row r="18" spans="1:9" x14ac:dyDescent="0.2">
      <c r="A18" s="270" t="s">
        <v>483</v>
      </c>
      <c r="B18" s="266" t="s">
        <v>484</v>
      </c>
      <c r="C18" s="267">
        <v>0</v>
      </c>
      <c r="D18" s="274">
        <v>7959763</v>
      </c>
      <c r="E18" s="273" t="s">
        <v>485</v>
      </c>
      <c r="G18" s="275"/>
    </row>
    <row r="19" spans="1:9" x14ac:dyDescent="0.2">
      <c r="A19" s="270" t="s">
        <v>486</v>
      </c>
      <c r="B19" s="266" t="s">
        <v>487</v>
      </c>
      <c r="C19" s="267">
        <v>944081.46</v>
      </c>
      <c r="D19" s="274">
        <v>8591512</v>
      </c>
      <c r="E19" s="277" t="s">
        <v>469</v>
      </c>
      <c r="G19" s="275"/>
    </row>
    <row r="20" spans="1:9" x14ac:dyDescent="0.2">
      <c r="A20" s="270"/>
      <c r="B20" s="266"/>
      <c r="C20" s="267"/>
      <c r="D20" s="271"/>
      <c r="E20" s="278"/>
      <c r="G20" s="275"/>
    </row>
    <row r="21" spans="1:9" ht="18" x14ac:dyDescent="0.25">
      <c r="A21" s="373" t="s">
        <v>488</v>
      </c>
      <c r="B21" s="374"/>
      <c r="C21" s="374"/>
      <c r="D21" s="374"/>
      <c r="E21" s="374"/>
      <c r="G21" s="275"/>
    </row>
    <row r="22" spans="1:9" ht="15.75" x14ac:dyDescent="0.2">
      <c r="A22" s="263" t="s">
        <v>14</v>
      </c>
      <c r="B22" s="263" t="s">
        <v>339</v>
      </c>
      <c r="C22" s="263" t="s">
        <v>458</v>
      </c>
      <c r="D22" s="263" t="s">
        <v>459</v>
      </c>
      <c r="E22" s="264" t="s">
        <v>460</v>
      </c>
    </row>
    <row r="23" spans="1:9" x14ac:dyDescent="0.2">
      <c r="A23" s="279" t="s">
        <v>489</v>
      </c>
      <c r="B23" s="266" t="s">
        <v>490</v>
      </c>
      <c r="C23" s="280">
        <v>1430990</v>
      </c>
      <c r="D23" s="271">
        <v>8565661</v>
      </c>
      <c r="E23" s="273" t="s">
        <v>491</v>
      </c>
      <c r="G23" s="275"/>
    </row>
    <row r="24" spans="1:9" x14ac:dyDescent="0.2">
      <c r="A24" s="279" t="s">
        <v>492</v>
      </c>
      <c r="B24" s="266" t="s">
        <v>493</v>
      </c>
      <c r="C24" s="280">
        <v>0</v>
      </c>
      <c r="D24" s="268">
        <v>7835870</v>
      </c>
      <c r="E24" s="269" t="s">
        <v>494</v>
      </c>
      <c r="G24" s="275"/>
    </row>
    <row r="25" spans="1:9" x14ac:dyDescent="0.2">
      <c r="A25" s="279" t="s">
        <v>495</v>
      </c>
      <c r="B25" s="266" t="s">
        <v>496</v>
      </c>
      <c r="C25" s="280">
        <v>0</v>
      </c>
      <c r="D25" s="281">
        <v>7809927</v>
      </c>
      <c r="E25" s="282" t="s">
        <v>497</v>
      </c>
      <c r="G25" s="275"/>
    </row>
    <row r="26" spans="1:9" x14ac:dyDescent="0.2">
      <c r="A26" s="279" t="s">
        <v>498</v>
      </c>
      <c r="B26" s="266" t="s">
        <v>499</v>
      </c>
      <c r="C26" s="280">
        <v>237818.04</v>
      </c>
      <c r="D26" s="271">
        <v>8591841</v>
      </c>
      <c r="E26" s="273" t="s">
        <v>500</v>
      </c>
      <c r="G26" s="275"/>
    </row>
    <row r="27" spans="1:9" x14ac:dyDescent="0.2">
      <c r="A27" s="279" t="s">
        <v>501</v>
      </c>
      <c r="B27" s="266" t="s">
        <v>502</v>
      </c>
      <c r="C27" s="280">
        <v>257315.94</v>
      </c>
      <c r="D27" s="283">
        <v>8596472</v>
      </c>
      <c r="E27" s="282" t="s">
        <v>503</v>
      </c>
      <c r="G27" s="275"/>
    </row>
    <row r="28" spans="1:9" x14ac:dyDescent="0.2">
      <c r="A28" s="284" t="s">
        <v>504</v>
      </c>
      <c r="B28" s="285" t="s">
        <v>505</v>
      </c>
      <c r="C28" s="286">
        <v>4860.84</v>
      </c>
      <c r="D28" s="287">
        <v>8575744</v>
      </c>
      <c r="E28" s="279" t="s">
        <v>506</v>
      </c>
      <c r="G28" s="275"/>
    </row>
    <row r="29" spans="1:9" x14ac:dyDescent="0.2">
      <c r="A29" s="279" t="s">
        <v>36</v>
      </c>
      <c r="B29" s="266" t="s">
        <v>507</v>
      </c>
      <c r="C29" s="280">
        <v>846032.47</v>
      </c>
      <c r="D29" s="271">
        <v>8591204</v>
      </c>
      <c r="E29" s="279" t="s">
        <v>508</v>
      </c>
      <c r="G29" s="275"/>
    </row>
    <row r="30" spans="1:9" x14ac:dyDescent="0.2">
      <c r="A30" s="279" t="s">
        <v>509</v>
      </c>
      <c r="B30" s="266" t="s">
        <v>510</v>
      </c>
      <c r="C30" s="280">
        <v>0</v>
      </c>
      <c r="D30" s="271">
        <v>8644502</v>
      </c>
      <c r="E30" s="279" t="s">
        <v>511</v>
      </c>
      <c r="G30" s="275"/>
      <c r="I30" s="275"/>
    </row>
    <row r="31" spans="1:9" x14ac:dyDescent="0.2">
      <c r="A31" s="280" t="s">
        <v>512</v>
      </c>
      <c r="B31" s="279" t="s">
        <v>513</v>
      </c>
      <c r="C31" s="280">
        <v>2129300</v>
      </c>
      <c r="D31" s="271">
        <v>8639898</v>
      </c>
      <c r="E31" s="282" t="s">
        <v>514</v>
      </c>
      <c r="I31" s="275"/>
    </row>
    <row r="32" spans="1:9" x14ac:dyDescent="0.2">
      <c r="A32" s="275"/>
      <c r="C32" s="275"/>
    </row>
    <row r="33" spans="1:7" ht="15" x14ac:dyDescent="0.25">
      <c r="A33" s="364" t="s">
        <v>515</v>
      </c>
      <c r="B33" s="365"/>
      <c r="C33" s="365"/>
      <c r="D33" s="365"/>
      <c r="E33" s="366"/>
    </row>
    <row r="34" spans="1:7" ht="15.75" x14ac:dyDescent="0.2">
      <c r="A34" s="263" t="s">
        <v>14</v>
      </c>
      <c r="B34" s="263" t="s">
        <v>339</v>
      </c>
      <c r="C34" s="263" t="s">
        <v>458</v>
      </c>
      <c r="D34" s="263" t="s">
        <v>459</v>
      </c>
      <c r="E34" s="264" t="s">
        <v>460</v>
      </c>
    </row>
    <row r="35" spans="1:7" x14ac:dyDescent="0.2">
      <c r="A35" s="280" t="s">
        <v>46</v>
      </c>
      <c r="B35" s="279" t="s">
        <v>516</v>
      </c>
      <c r="C35" s="280">
        <v>97199</v>
      </c>
      <c r="D35" s="271">
        <v>8313970</v>
      </c>
      <c r="E35" s="279" t="s">
        <v>517</v>
      </c>
      <c r="G35" s="275"/>
    </row>
    <row r="36" spans="1:7" x14ac:dyDescent="0.2">
      <c r="A36" s="275"/>
      <c r="C36" s="275"/>
    </row>
    <row r="37" spans="1:7" ht="15" x14ac:dyDescent="0.25">
      <c r="A37" s="364" t="s">
        <v>515</v>
      </c>
      <c r="B37" s="365"/>
      <c r="C37" s="365"/>
      <c r="D37" s="365"/>
      <c r="E37" s="366"/>
    </row>
    <row r="38" spans="1:7" ht="15.75" x14ac:dyDescent="0.2">
      <c r="A38" s="263" t="s">
        <v>14</v>
      </c>
      <c r="B38" s="263" t="s">
        <v>339</v>
      </c>
      <c r="C38" s="263" t="s">
        <v>458</v>
      </c>
      <c r="D38" s="263" t="s">
        <v>459</v>
      </c>
      <c r="E38" s="264" t="s">
        <v>460</v>
      </c>
    </row>
    <row r="39" spans="1:7" x14ac:dyDescent="0.2">
      <c r="A39" s="280" t="s">
        <v>518</v>
      </c>
      <c r="B39" s="279" t="s">
        <v>519</v>
      </c>
      <c r="C39" s="279">
        <v>539013.97</v>
      </c>
      <c r="D39" s="279">
        <v>86300242</v>
      </c>
      <c r="E39" s="273" t="s">
        <v>520</v>
      </c>
    </row>
    <row r="40" spans="1:7" ht="18" x14ac:dyDescent="0.25">
      <c r="A40" s="367" t="s">
        <v>521</v>
      </c>
      <c r="B40" s="367"/>
      <c r="C40" s="367"/>
      <c r="D40" s="367"/>
      <c r="E40" s="367"/>
    </row>
    <row r="41" spans="1:7" x14ac:dyDescent="0.2">
      <c r="A41" s="275" t="s">
        <v>523</v>
      </c>
      <c r="D41" s="262">
        <v>7203449</v>
      </c>
      <c r="E41" s="262" t="s">
        <v>522</v>
      </c>
    </row>
    <row r="42" spans="1:7" ht="15" x14ac:dyDescent="0.25">
      <c r="A42" s="369" t="s">
        <v>527</v>
      </c>
      <c r="B42" s="370"/>
      <c r="C42" s="370"/>
      <c r="D42" s="370"/>
      <c r="E42" s="370"/>
    </row>
    <row r="43" spans="1:7" ht="42.75" x14ac:dyDescent="0.2">
      <c r="A43" s="289" t="s">
        <v>524</v>
      </c>
      <c r="E43" s="288" t="s">
        <v>525</v>
      </c>
    </row>
    <row r="44" spans="1:7" ht="42.75" x14ac:dyDescent="0.2">
      <c r="A44" s="290" t="s">
        <v>526</v>
      </c>
      <c r="E44" s="288" t="s">
        <v>525</v>
      </c>
    </row>
  </sheetData>
  <mergeCells count="11">
    <mergeCell ref="A37:E37"/>
    <mergeCell ref="A40:E40"/>
    <mergeCell ref="A1:E1"/>
    <mergeCell ref="A3:E3"/>
    <mergeCell ref="A42:E42"/>
    <mergeCell ref="A2:E2"/>
    <mergeCell ref="A4:E4"/>
    <mergeCell ref="A5:E5"/>
    <mergeCell ref="A16:E16"/>
    <mergeCell ref="A21:E21"/>
    <mergeCell ref="A33:E3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resumen</vt:lpstr>
      <vt:lpstr>En trámite</vt:lpstr>
      <vt:lpstr>Programas Desarrollados</vt:lpstr>
      <vt:lpstr>proy x cierre</vt:lpstr>
      <vt:lpstr>Consultorias</vt:lpstr>
      <vt:lpstr>Legales</vt:lpstr>
      <vt:lpstr>terminados</vt:lpstr>
      <vt:lpstr>Planificación</vt:lpstr>
      <vt:lpstr>P.Adendas</vt:lpstr>
      <vt:lpstr>'En trámite'!Títulos_a_imprimir</vt:lpstr>
      <vt:lpstr>Legales!Títulos_a_imprimir</vt:lpstr>
      <vt:lpstr>'Programas Desarrollados'!Títulos_a_imprimir</vt:lpstr>
      <vt:lpstr>'proy x cierre'!Títulos_a_imprimir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Yassir Amores</cp:lastModifiedBy>
  <cp:lastPrinted>2020-01-27T16:26:59Z</cp:lastPrinted>
  <dcterms:created xsi:type="dcterms:W3CDTF">2017-06-15T14:03:19Z</dcterms:created>
  <dcterms:modified xsi:type="dcterms:W3CDTF">2020-02-17T16:48:36Z</dcterms:modified>
</cp:coreProperties>
</file>